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" yWindow="-12" windowWidth="9576" windowHeight="11016" tabRatio="797"/>
  </bookViews>
  <sheets>
    <sheet name="МС 072017" sheetId="50" r:id="rId1"/>
    <sheet name="2018 МА с 01.18" sheetId="49" r:id="rId2"/>
  </sheets>
  <calcPr calcId="125725"/>
</workbook>
</file>

<file path=xl/calcChain.xml><?xml version="1.0" encoding="utf-8"?>
<calcChain xmlns="http://schemas.openxmlformats.org/spreadsheetml/2006/main">
  <c r="K18" i="50"/>
  <c r="G18"/>
  <c r="F18"/>
  <c r="I18" s="1"/>
  <c r="P7" i="49"/>
  <c r="F17" i="50"/>
  <c r="J17" s="1"/>
  <c r="F16"/>
  <c r="I16" s="1"/>
  <c r="F13"/>
  <c r="J13" s="1"/>
  <c r="G28" i="49"/>
  <c r="J28" s="1"/>
  <c r="G42"/>
  <c r="J42" s="1"/>
  <c r="G41"/>
  <c r="E40"/>
  <c r="G39"/>
  <c r="H39" s="1"/>
  <c r="G38"/>
  <c r="H38" s="1"/>
  <c r="G37"/>
  <c r="I37" s="1"/>
  <c r="H36"/>
  <c r="G36"/>
  <c r="J36" s="1"/>
  <c r="G35"/>
  <c r="H35" s="1"/>
  <c r="L34"/>
  <c r="G34"/>
  <c r="J34" s="1"/>
  <c r="G33"/>
  <c r="G32"/>
  <c r="L32" s="1"/>
  <c r="G31"/>
  <c r="K31" s="1"/>
  <c r="E30"/>
  <c r="G29"/>
  <c r="L29" s="1"/>
  <c r="G27"/>
  <c r="J27" s="1"/>
  <c r="G26"/>
  <c r="J25"/>
  <c r="G25"/>
  <c r="L25" s="1"/>
  <c r="G24"/>
  <c r="K24" s="1"/>
  <c r="H23"/>
  <c r="G23"/>
  <c r="J23" s="1"/>
  <c r="E22"/>
  <c r="G21"/>
  <c r="K21" s="1"/>
  <c r="G20"/>
  <c r="J20" s="1"/>
  <c r="G19"/>
  <c r="G18"/>
  <c r="L18" s="1"/>
  <c r="J17"/>
  <c r="G17"/>
  <c r="K17" s="1"/>
  <c r="G16"/>
  <c r="J16" s="1"/>
  <c r="G15"/>
  <c r="E14"/>
  <c r="G13"/>
  <c r="J13" s="1"/>
  <c r="G12"/>
  <c r="E11"/>
  <c r="L10"/>
  <c r="L9" s="1"/>
  <c r="G10"/>
  <c r="J10" s="1"/>
  <c r="J9" s="1"/>
  <c r="E9"/>
  <c r="G7"/>
  <c r="J7" s="1"/>
  <c r="L16" l="1"/>
  <c r="J18"/>
  <c r="L27"/>
  <c r="H18" i="50"/>
  <c r="L18" s="1"/>
  <c r="J18"/>
  <c r="J21" i="49"/>
  <c r="L23"/>
  <c r="I25"/>
  <c r="H27"/>
  <c r="J35"/>
  <c r="M35" s="1"/>
  <c r="I13" i="50"/>
  <c r="L20" i="49"/>
  <c r="I24"/>
  <c r="J32"/>
  <c r="G13" i="50"/>
  <c r="I39" i="49"/>
  <c r="M39" s="1"/>
  <c r="H28"/>
  <c r="I28"/>
  <c r="L31"/>
  <c r="H10"/>
  <c r="H9" s="1"/>
  <c r="L13"/>
  <c r="H16"/>
  <c r="I17"/>
  <c r="I18"/>
  <c r="H20"/>
  <c r="I21"/>
  <c r="H24"/>
  <c r="E8"/>
  <c r="J31"/>
  <c r="M31" s="1"/>
  <c r="P31" s="1"/>
  <c r="I32"/>
  <c r="H34"/>
  <c r="I35"/>
  <c r="H13" i="50"/>
  <c r="K16"/>
  <c r="K17"/>
  <c r="L7" i="49"/>
  <c r="H13"/>
  <c r="H17"/>
  <c r="H21"/>
  <c r="L24"/>
  <c r="J29"/>
  <c r="I31"/>
  <c r="J38"/>
  <c r="L42"/>
  <c r="F15" i="50"/>
  <c r="G16"/>
  <c r="H17"/>
  <c r="H7" i="49"/>
  <c r="M7" s="1"/>
  <c r="O7" s="1"/>
  <c r="L17"/>
  <c r="L21"/>
  <c r="J24"/>
  <c r="I29"/>
  <c r="H31"/>
  <c r="I38"/>
  <c r="H42"/>
  <c r="K13" i="50"/>
  <c r="G17"/>
  <c r="H16"/>
  <c r="I17"/>
  <c r="J16"/>
  <c r="J15" s="1"/>
  <c r="K28" i="49"/>
  <c r="L28"/>
  <c r="K15"/>
  <c r="K19"/>
  <c r="K26"/>
  <c r="K7"/>
  <c r="K10"/>
  <c r="K9" s="1"/>
  <c r="G11"/>
  <c r="J12"/>
  <c r="J11" s="1"/>
  <c r="K16"/>
  <c r="K20"/>
  <c r="K23"/>
  <c r="K27"/>
  <c r="I7"/>
  <c r="I10"/>
  <c r="I9" s="1"/>
  <c r="H12"/>
  <c r="H11" s="1"/>
  <c r="L12"/>
  <c r="I13"/>
  <c r="H15"/>
  <c r="L15"/>
  <c r="I16"/>
  <c r="K18"/>
  <c r="H19"/>
  <c r="L19"/>
  <c r="I20"/>
  <c r="I23"/>
  <c r="K25"/>
  <c r="H26"/>
  <c r="L26"/>
  <c r="I27"/>
  <c r="K29"/>
  <c r="G30"/>
  <c r="K32"/>
  <c r="H33"/>
  <c r="L33"/>
  <c r="L30" s="1"/>
  <c r="I34"/>
  <c r="I36"/>
  <c r="H37"/>
  <c r="H41"/>
  <c r="H40" s="1"/>
  <c r="L41"/>
  <c r="I42"/>
  <c r="K12"/>
  <c r="K33"/>
  <c r="K41"/>
  <c r="K13"/>
  <c r="G14"/>
  <c r="J15"/>
  <c r="J19"/>
  <c r="J26"/>
  <c r="J33"/>
  <c r="K34"/>
  <c r="M36"/>
  <c r="J37"/>
  <c r="G40"/>
  <c r="J41"/>
  <c r="J40" s="1"/>
  <c r="K42"/>
  <c r="G9"/>
  <c r="I12"/>
  <c r="I15"/>
  <c r="H18"/>
  <c r="I19"/>
  <c r="G22"/>
  <c r="H25"/>
  <c r="I26"/>
  <c r="H29"/>
  <c r="H32"/>
  <c r="I33"/>
  <c r="I41"/>
  <c r="I40" s="1"/>
  <c r="M29" l="1"/>
  <c r="M16"/>
  <c r="R16" s="1"/>
  <c r="M24"/>
  <c r="O24" s="1"/>
  <c r="M23"/>
  <c r="Q23" s="1"/>
  <c r="L13" i="50"/>
  <c r="M18" i="49"/>
  <c r="P18" s="1"/>
  <c r="M42"/>
  <c r="R42" s="1"/>
  <c r="J22"/>
  <c r="P35"/>
  <c r="R35"/>
  <c r="R24"/>
  <c r="M33"/>
  <c r="Q33" s="1"/>
  <c r="L40"/>
  <c r="M34"/>
  <c r="P34" s="1"/>
  <c r="L17" i="50"/>
  <c r="M38" i="49"/>
  <c r="O38" s="1"/>
  <c r="P39"/>
  <c r="O39"/>
  <c r="R39"/>
  <c r="Q39"/>
  <c r="L14"/>
  <c r="I30"/>
  <c r="M25"/>
  <c r="R25" s="1"/>
  <c r="K30"/>
  <c r="M20"/>
  <c r="R20" s="1"/>
  <c r="L11"/>
  <c r="O35"/>
  <c r="K15" i="50"/>
  <c r="M21" i="49"/>
  <c r="M26"/>
  <c r="Q26" s="1"/>
  <c r="M37"/>
  <c r="O37" s="1"/>
  <c r="M27"/>
  <c r="Q27" s="1"/>
  <c r="M13"/>
  <c r="O13" s="1"/>
  <c r="Q35"/>
  <c r="M28"/>
  <c r="O28" s="1"/>
  <c r="M17"/>
  <c r="M19"/>
  <c r="P19" s="1"/>
  <c r="H15" i="50"/>
  <c r="G15"/>
  <c r="I15"/>
  <c r="L16"/>
  <c r="L15" s="1"/>
  <c r="K22" i="49"/>
  <c r="L22"/>
  <c r="Q34"/>
  <c r="R34"/>
  <c r="Q20"/>
  <c r="Q16"/>
  <c r="R26"/>
  <c r="P26"/>
  <c r="O42"/>
  <c r="P42"/>
  <c r="P37"/>
  <c r="Q37"/>
  <c r="R27"/>
  <c r="O23"/>
  <c r="P23"/>
  <c r="R23"/>
  <c r="R18"/>
  <c r="Q36"/>
  <c r="R36"/>
  <c r="P36"/>
  <c r="O36"/>
  <c r="R33"/>
  <c r="O33"/>
  <c r="P33"/>
  <c r="Q29"/>
  <c r="R29"/>
  <c r="P29"/>
  <c r="O29"/>
  <c r="Q31"/>
  <c r="O31"/>
  <c r="R31"/>
  <c r="K11"/>
  <c r="M41"/>
  <c r="M32"/>
  <c r="I11"/>
  <c r="J30"/>
  <c r="M10"/>
  <c r="P10" s="1"/>
  <c r="P9" s="1"/>
  <c r="H22"/>
  <c r="P38"/>
  <c r="R38"/>
  <c r="Q38"/>
  <c r="R7"/>
  <c r="Q7"/>
  <c r="Q25"/>
  <c r="P25"/>
  <c r="O25"/>
  <c r="K40"/>
  <c r="I22"/>
  <c r="G8"/>
  <c r="I14"/>
  <c r="J14"/>
  <c r="H14"/>
  <c r="K14"/>
  <c r="M15"/>
  <c r="M12"/>
  <c r="P12" s="1"/>
  <c r="H30"/>
  <c r="O18" l="1"/>
  <c r="O16"/>
  <c r="M30"/>
  <c r="U30" s="1"/>
  <c r="Q18"/>
  <c r="O27"/>
  <c r="Q42"/>
  <c r="P16"/>
  <c r="O20"/>
  <c r="P24"/>
  <c r="P22" s="1"/>
  <c r="P27"/>
  <c r="O26"/>
  <c r="P20"/>
  <c r="O34"/>
  <c r="Q24"/>
  <c r="R19"/>
  <c r="R13"/>
  <c r="R37"/>
  <c r="R30" s="1"/>
  <c r="J8"/>
  <c r="M22"/>
  <c r="U22" s="1"/>
  <c r="Q28"/>
  <c r="Q22" s="1"/>
  <c r="K8"/>
  <c r="R28"/>
  <c r="R22" s="1"/>
  <c r="R17"/>
  <c r="Q17"/>
  <c r="O17"/>
  <c r="P17"/>
  <c r="R21"/>
  <c r="Q21"/>
  <c r="O21"/>
  <c r="P21"/>
  <c r="Q19"/>
  <c r="P13"/>
  <c r="P11" s="1"/>
  <c r="L8"/>
  <c r="P28"/>
  <c r="H8"/>
  <c r="O19"/>
  <c r="Q13"/>
  <c r="O22"/>
  <c r="I8"/>
  <c r="R15"/>
  <c r="P15"/>
  <c r="Q15"/>
  <c r="Q14" s="1"/>
  <c r="M14"/>
  <c r="U14" s="1"/>
  <c r="O15"/>
  <c r="W7"/>
  <c r="Q32"/>
  <c r="Q30" s="1"/>
  <c r="R32"/>
  <c r="O32"/>
  <c r="P32"/>
  <c r="P30" s="1"/>
  <c r="R12"/>
  <c r="O12"/>
  <c r="O11" s="1"/>
  <c r="Q12"/>
  <c r="M11"/>
  <c r="U11" s="1"/>
  <c r="O10"/>
  <c r="O9" s="1"/>
  <c r="R10"/>
  <c r="R9" s="1"/>
  <c r="Q10"/>
  <c r="Q9" s="1"/>
  <c r="M9"/>
  <c r="R41"/>
  <c r="R40" s="1"/>
  <c r="O41"/>
  <c r="O40" s="1"/>
  <c r="P41"/>
  <c r="P40" s="1"/>
  <c r="Q41"/>
  <c r="Q40" s="1"/>
  <c r="M40"/>
  <c r="U40" s="1"/>
  <c r="O30" l="1"/>
  <c r="P14"/>
  <c r="P8" s="1"/>
  <c r="R11"/>
  <c r="R8" s="1"/>
  <c r="O14"/>
  <c r="R14"/>
  <c r="Q11"/>
  <c r="W22"/>
  <c r="M8"/>
  <c r="U9"/>
  <c r="U8" s="1"/>
  <c r="W9"/>
  <c r="O8"/>
  <c r="W30"/>
  <c r="W40"/>
  <c r="W14" l="1"/>
  <c r="W11"/>
  <c r="W8" s="1"/>
  <c r="Q8"/>
</calcChain>
</file>

<file path=xl/sharedStrings.xml><?xml version="1.0" encoding="utf-8"?>
<sst xmlns="http://schemas.openxmlformats.org/spreadsheetml/2006/main" count="100" uniqueCount="64">
  <si>
    <t>Оклад</t>
  </si>
  <si>
    <t>ИТОГО</t>
  </si>
  <si>
    <t>Глава МО</t>
  </si>
  <si>
    <t xml:space="preserve"> Главный специалист</t>
  </si>
  <si>
    <t xml:space="preserve"> Специалист 1 категории</t>
  </si>
  <si>
    <t>Мат помощь 25%</t>
  </si>
  <si>
    <t>Премия 50%</t>
  </si>
  <si>
    <t>Надбавка 25%</t>
  </si>
  <si>
    <t xml:space="preserve"> </t>
  </si>
  <si>
    <t>МА МО Аптекарский остров</t>
  </si>
  <si>
    <t>Глава МА</t>
  </si>
  <si>
    <t>Заместитель Главы МА</t>
  </si>
  <si>
    <t xml:space="preserve"> Главный бухгалтер МА</t>
  </si>
  <si>
    <t>Выслуга 25%</t>
  </si>
  <si>
    <t>Муниципальный Совет муниципального образования муниципального округа Аптекарский остров</t>
  </si>
  <si>
    <t>наименование организации</t>
  </si>
  <si>
    <t>ШТАТНОЕ РАСПИСАНИЕ</t>
  </si>
  <si>
    <t>Номер документа</t>
  </si>
  <si>
    <t>Дата составления</t>
  </si>
  <si>
    <t>УТВЕРЖДЕНО</t>
  </si>
  <si>
    <t>Структурное подразделение</t>
  </si>
  <si>
    <t>Должности</t>
  </si>
  <si>
    <t>Р/ед.</t>
  </si>
  <si>
    <t>МС МО МО  Апт. Остров</t>
  </si>
  <si>
    <t>Местная Администрация муниципального образования муниципального округа Аптекарский остров</t>
  </si>
  <si>
    <t>№ п/п</t>
  </si>
  <si>
    <t>Уборщик служебных помещений</t>
  </si>
  <si>
    <t>Расчетная (баз) ед.</t>
  </si>
  <si>
    <t>Премия 50% (100%)</t>
  </si>
  <si>
    <t>Кол-во р/ед. (Баз. Коэф.)</t>
  </si>
  <si>
    <t>Главный специалист</t>
  </si>
  <si>
    <t>Классный чин</t>
  </si>
  <si>
    <t xml:space="preserve">Классный чин </t>
  </si>
  <si>
    <t>кол-во р/ед.</t>
  </si>
  <si>
    <t>Специалист 1 категории</t>
  </si>
  <si>
    <t>Заведующий хозяйством</t>
  </si>
  <si>
    <t>Документовед</t>
  </si>
  <si>
    <t>Техник</t>
  </si>
  <si>
    <t>Лица, исполняющие отдельные государственные полномочия по опеке и попечительству</t>
  </si>
  <si>
    <t>Ведущий специалист</t>
  </si>
  <si>
    <t>ПФР</t>
  </si>
  <si>
    <t>ФСС</t>
  </si>
  <si>
    <t>Отдел бухгалтерского учета и отчетности</t>
  </si>
  <si>
    <t>Руководитель отдела</t>
  </si>
  <si>
    <t xml:space="preserve">Отдел по благоустройству </t>
  </si>
  <si>
    <t>Руководство</t>
  </si>
  <si>
    <t>ФФОМС</t>
  </si>
  <si>
    <t>211=</t>
  </si>
  <si>
    <t>213=</t>
  </si>
  <si>
    <t>Отдел по исполнению муниципальных и  ведомственных целевых программ</t>
  </si>
  <si>
    <t>Отдел экономического развития и муниципального заказа,юридического обеспечения</t>
  </si>
  <si>
    <t xml:space="preserve">Руководитель отдела </t>
  </si>
  <si>
    <t>Руководительаппарата МС</t>
  </si>
  <si>
    <t>1004/00200G0850</t>
  </si>
  <si>
    <t>0104/0020000031</t>
  </si>
  <si>
    <t>0104/0020000032</t>
  </si>
  <si>
    <t>Главный бухгалтер</t>
  </si>
  <si>
    <t>Ставка</t>
  </si>
  <si>
    <t>на период с 01 января  2018 г. по 31 декабря 2018г.</t>
  </si>
  <si>
    <t xml:space="preserve">Приказом Главы МА от                      2017 года № </t>
  </si>
  <si>
    <t>25 октября 2017</t>
  </si>
  <si>
    <t>Приложение № 1 к Решению МС от 26.10.2017г. № 9/3</t>
  </si>
  <si>
    <t>на период с 01 января 2018 г. по 31 декабря 2018г.</t>
  </si>
  <si>
    <t>Решением МС от  26.10.2017 года №98/3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</si>
</sst>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3">
    <font>
      <sz val="10"/>
      <name val="Arial Cyr"/>
      <charset val="204"/>
    </font>
    <font>
      <sz val="11"/>
      <color theme="1"/>
      <name val="Century Gothic"/>
      <family val="2"/>
      <charset val="204"/>
      <scheme val="minor"/>
    </font>
    <font>
      <sz val="11"/>
      <color theme="1"/>
      <name val="Century Gothic"/>
      <family val="2"/>
      <charset val="204"/>
      <scheme val="minor"/>
    </font>
    <font>
      <sz val="11"/>
      <color theme="1"/>
      <name val="Century Gothic"/>
      <family val="2"/>
      <charset val="204"/>
      <scheme val="minor"/>
    </font>
    <font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entury Gothic"/>
      <family val="2"/>
      <charset val="204"/>
      <scheme val="minor"/>
    </font>
    <font>
      <sz val="11"/>
      <name val="Century Gothic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entury Gothic"/>
      <family val="2"/>
      <charset val="204"/>
      <scheme val="minor"/>
    </font>
    <font>
      <b/>
      <sz val="11"/>
      <color theme="1"/>
      <name val="Century Gothic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58">
    <xf numFmtId="0" fontId="0" fillId="0" borderId="0" xfId="0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6" fillId="0" borderId="3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0" borderId="0" xfId="0" applyNumberFormat="1"/>
    <xf numFmtId="0" fontId="15" fillId="0" borderId="0" xfId="1"/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0" fontId="16" fillId="0" borderId="0" xfId="1" applyFont="1"/>
    <xf numFmtId="0" fontId="16" fillId="0" borderId="5" xfId="1" applyFont="1" applyBorder="1" applyAlignment="1">
      <alignment vertical="center"/>
    </xf>
    <xf numFmtId="0" fontId="11" fillId="0" borderId="0" xfId="1" applyFont="1"/>
    <xf numFmtId="0" fontId="0" fillId="0" borderId="3" xfId="0" applyBorder="1" applyAlignment="1">
      <alignment horizontal="center" vertical="top" wrapText="1"/>
    </xf>
    <xf numFmtId="0" fontId="17" fillId="0" borderId="1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1" xfId="1" applyFont="1" applyBorder="1"/>
    <xf numFmtId="0" fontId="18" fillId="0" borderId="4" xfId="1" applyFont="1" applyBorder="1"/>
    <xf numFmtId="0" fontId="12" fillId="0" borderId="1" xfId="1" applyFont="1" applyBorder="1"/>
    <xf numFmtId="0" fontId="12" fillId="0" borderId="3" xfId="1" applyFont="1" applyBorder="1"/>
    <xf numFmtId="0" fontId="17" fillId="0" borderId="3" xfId="1" applyFont="1" applyBorder="1"/>
    <xf numFmtId="2" fontId="12" fillId="0" borderId="3" xfId="1" applyNumberFormat="1" applyFont="1" applyBorder="1"/>
    <xf numFmtId="0" fontId="12" fillId="0" borderId="3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1" fontId="15" fillId="0" borderId="0" xfId="1" applyNumberFormat="1" applyFont="1" applyAlignment="1">
      <alignment horizontal="center" vertical="center"/>
    </xf>
    <xf numFmtId="0" fontId="15" fillId="0" borderId="0" xfId="1" applyFont="1"/>
    <xf numFmtId="0" fontId="14" fillId="0" borderId="4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1" fontId="14" fillId="0" borderId="1" xfId="1" applyNumberFormat="1" applyFont="1" applyBorder="1" applyAlignment="1">
      <alignment horizontal="center"/>
    </xf>
    <xf numFmtId="1" fontId="15" fillId="0" borderId="0" xfId="1" applyNumberFormat="1" applyFont="1"/>
    <xf numFmtId="0" fontId="14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1" fontId="12" fillId="0" borderId="1" xfId="1" applyNumberFormat="1" applyFont="1" applyBorder="1" applyAlignment="1">
      <alignment horizontal="center"/>
    </xf>
    <xf numFmtId="0" fontId="14" fillId="0" borderId="2" xfId="1" applyFont="1" applyBorder="1" applyAlignment="1">
      <alignment horizontal="center" vertical="center"/>
    </xf>
    <xf numFmtId="1" fontId="14" fillId="0" borderId="2" xfId="1" applyNumberFormat="1" applyFont="1" applyBorder="1" applyAlignment="1">
      <alignment horizontal="center" vertical="center"/>
    </xf>
    <xf numFmtId="1" fontId="14" fillId="0" borderId="1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horizontal="center"/>
    </xf>
    <xf numFmtId="0" fontId="19" fillId="0" borderId="3" xfId="1" applyFont="1" applyBorder="1" applyAlignment="1">
      <alignment horizontal="center"/>
    </xf>
    <xf numFmtId="0" fontId="19" fillId="0" borderId="2" xfId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1" fontId="19" fillId="0" borderId="1" xfId="1" applyNumberFormat="1" applyFont="1" applyBorder="1" applyAlignment="1">
      <alignment horizontal="center"/>
    </xf>
    <xf numFmtId="0" fontId="17" fillId="0" borderId="3" xfId="1" applyFont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1" fontId="17" fillId="0" borderId="1" xfId="1" applyNumberFormat="1" applyFont="1" applyBorder="1" applyAlignment="1">
      <alignment horizontal="center"/>
    </xf>
    <xf numFmtId="2" fontId="12" fillId="0" borderId="3" xfId="1" applyNumberFormat="1" applyFont="1" applyBorder="1" applyAlignment="1">
      <alignment horizontal="center"/>
    </xf>
    <xf numFmtId="1" fontId="12" fillId="0" borderId="2" xfId="1" applyNumberFormat="1" applyFont="1" applyBorder="1" applyAlignment="1">
      <alignment horizontal="center"/>
    </xf>
    <xf numFmtId="2" fontId="19" fillId="0" borderId="3" xfId="1" applyNumberFormat="1" applyFont="1" applyBorder="1" applyAlignment="1">
      <alignment horizontal="center"/>
    </xf>
    <xf numFmtId="1" fontId="19" fillId="0" borderId="2" xfId="1" applyNumberFormat="1" applyFont="1" applyBorder="1" applyAlignment="1">
      <alignment horizontal="center"/>
    </xf>
    <xf numFmtId="0" fontId="12" fillId="0" borderId="1" xfId="0" applyFont="1" applyBorder="1"/>
    <xf numFmtId="0" fontId="17" fillId="0" borderId="1" xfId="1" applyFont="1" applyFill="1" applyBorder="1"/>
    <xf numFmtId="0" fontId="17" fillId="0" borderId="3" xfId="1" applyFont="1" applyBorder="1" applyAlignment="1">
      <alignment horizontal="center" wrapText="1"/>
    </xf>
    <xf numFmtId="1" fontId="14" fillId="0" borderId="2" xfId="1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64" fontId="12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2" fillId="0" borderId="2" xfId="1" applyFont="1" applyBorder="1"/>
    <xf numFmtId="0" fontId="17" fillId="0" borderId="7" xfId="1" applyFont="1" applyBorder="1"/>
    <xf numFmtId="0" fontId="18" fillId="0" borderId="7" xfId="1" applyFont="1" applyBorder="1" applyAlignment="1">
      <alignment horizontal="center"/>
    </xf>
    <xf numFmtId="1" fontId="17" fillId="0" borderId="7" xfId="1" applyNumberFormat="1" applyFont="1" applyBorder="1"/>
    <xf numFmtId="1" fontId="13" fillId="0" borderId="7" xfId="1" applyNumberFormat="1" applyFont="1" applyBorder="1" applyAlignment="1">
      <alignment horizontal="center"/>
    </xf>
    <xf numFmtId="0" fontId="12" fillId="0" borderId="1" xfId="1" applyFont="1" applyBorder="1" applyAlignment="1">
      <alignment horizontal="left" vertical="center"/>
    </xf>
    <xf numFmtId="1" fontId="15" fillId="0" borderId="0" xfId="1" applyNumberFormat="1" applyFont="1" applyBorder="1"/>
    <xf numFmtId="0" fontId="15" fillId="0" borderId="0" xfId="1" applyFont="1" applyBorder="1"/>
    <xf numFmtId="1" fontId="15" fillId="0" borderId="0" xfId="1" applyNumberFormat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17" fillId="0" borderId="1" xfId="1" applyFont="1" applyBorder="1" applyAlignment="1">
      <alignment vertical="center"/>
    </xf>
    <xf numFmtId="0" fontId="14" fillId="0" borderId="3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/>
    </xf>
    <xf numFmtId="0" fontId="3" fillId="0" borderId="0" xfId="1" applyFont="1"/>
    <xf numFmtId="10" fontId="15" fillId="0" borderId="0" xfId="1" applyNumberFormat="1" applyFont="1"/>
    <xf numFmtId="0" fontId="2" fillId="0" borderId="1" xfId="1" applyFont="1" applyBorder="1"/>
    <xf numFmtId="0" fontId="2" fillId="0" borderId="2" xfId="1" applyFont="1" applyBorder="1"/>
    <xf numFmtId="0" fontId="15" fillId="0" borderId="3" xfId="1" applyFont="1" applyBorder="1"/>
    <xf numFmtId="1" fontId="15" fillId="0" borderId="3" xfId="1" applyNumberFormat="1" applyFont="1" applyBorder="1"/>
    <xf numFmtId="0" fontId="15" fillId="0" borderId="2" xfId="1" applyFont="1" applyBorder="1"/>
    <xf numFmtId="1" fontId="20" fillId="0" borderId="1" xfId="1" applyNumberFormat="1" applyFont="1" applyBorder="1" applyAlignment="1">
      <alignment horizontal="center"/>
    </xf>
    <xf numFmtId="0" fontId="21" fillId="0" borderId="0" xfId="1" applyFont="1"/>
    <xf numFmtId="0" fontId="22" fillId="0" borderId="0" xfId="1" applyFont="1"/>
    <xf numFmtId="1" fontId="22" fillId="0" borderId="0" xfId="1" applyNumberFormat="1" applyFont="1"/>
    <xf numFmtId="1" fontId="16" fillId="0" borderId="0" xfId="1" applyNumberFormat="1" applyFont="1"/>
    <xf numFmtId="0" fontId="22" fillId="0" borderId="1" xfId="1" applyFont="1" applyBorder="1"/>
    <xf numFmtId="2" fontId="12" fillId="0" borderId="3" xfId="0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left" wrapText="1"/>
    </xf>
    <xf numFmtId="0" fontId="1" fillId="0" borderId="0" xfId="1" applyFont="1"/>
    <xf numFmtId="2" fontId="12" fillId="0" borderId="10" xfId="1" applyNumberFormat="1" applyFont="1" applyBorder="1"/>
    <xf numFmtId="0" fontId="19" fillId="0" borderId="3" xfId="1" applyFont="1" applyBorder="1" applyAlignment="1">
      <alignment horizontal="center" wrapText="1"/>
    </xf>
    <xf numFmtId="0" fontId="7" fillId="0" borderId="0" xfId="1" applyFont="1" applyBorder="1" applyAlignment="1">
      <alignment horizontal="center" vertical="top" wrapText="1"/>
    </xf>
    <xf numFmtId="0" fontId="14" fillId="0" borderId="4" xfId="1" applyFont="1" applyBorder="1" applyAlignment="1">
      <alignment horizontal="center" wrapText="1"/>
    </xf>
    <xf numFmtId="0" fontId="9" fillId="0" borderId="0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center" wrapText="1"/>
    </xf>
    <xf numFmtId="0" fontId="14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3" fillId="0" borderId="10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/>
    </xf>
    <xf numFmtId="0" fontId="19" fillId="0" borderId="10" xfId="1" applyFont="1" applyBorder="1" applyAlignment="1">
      <alignment horizontal="center"/>
    </xf>
    <xf numFmtId="0" fontId="17" fillId="0" borderId="10" xfId="1" applyFont="1" applyBorder="1" applyAlignment="1">
      <alignment horizontal="center"/>
    </xf>
    <xf numFmtId="0" fontId="14" fillId="0" borderId="10" xfId="1" applyFont="1" applyFill="1" applyBorder="1" applyAlignment="1">
      <alignment horizontal="center" vertical="center" wrapText="1"/>
    </xf>
    <xf numFmtId="0" fontId="17" fillId="0" borderId="10" xfId="1" applyFont="1" applyBorder="1" applyAlignment="1">
      <alignment horizontal="center" wrapText="1"/>
    </xf>
    <xf numFmtId="0" fontId="19" fillId="0" borderId="10" xfId="1" applyFont="1" applyBorder="1" applyAlignment="1">
      <alignment horizontal="center" wrapText="1"/>
    </xf>
    <xf numFmtId="0" fontId="12" fillId="0" borderId="10" xfId="1" applyNumberFormat="1" applyFont="1" applyBorder="1" applyAlignment="1">
      <alignment horizontal="center"/>
    </xf>
    <xf numFmtId="0" fontId="19" fillId="0" borderId="10" xfId="1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wrapText="1"/>
    </xf>
    <xf numFmtId="0" fontId="14" fillId="0" borderId="3" xfId="1" applyFont="1" applyBorder="1" applyAlignment="1">
      <alignment horizont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5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top" wrapText="1"/>
    </xf>
    <xf numFmtId="0" fontId="9" fillId="0" borderId="9" xfId="1" applyFont="1" applyBorder="1" applyAlignment="1">
      <alignment horizontal="center" vertical="top" wrapText="1"/>
    </xf>
    <xf numFmtId="0" fontId="10" fillId="0" borderId="0" xfId="1" applyFont="1" applyAlignment="1">
      <alignment horizontal="center" wrapText="1"/>
    </xf>
    <xf numFmtId="0" fontId="10" fillId="0" borderId="8" xfId="1" applyFont="1" applyBorder="1" applyAlignment="1">
      <alignment horizont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16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Аптека">
  <a:themeElements>
    <a:clrScheme name="Аптека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Аптека">
      <a:majorFont>
        <a:latin typeface="Book Antiqua"/>
        <a:ea typeface=""/>
        <a:cs typeface=""/>
        <a:font script="Jpan" typeface="HGS明朝B"/>
        <a:font script="Hang" typeface="HY견명조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견명조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Аптека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3000"/>
            <a:satMod val="14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atMod val="170000"/>
              </a:schemeClr>
              <a:schemeClr val="phClr">
                <a:shade val="70000"/>
                <a:satMod val="13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topLeftCell="A4" workbookViewId="0">
      <selection activeCell="O15" sqref="O15"/>
    </sheetView>
  </sheetViews>
  <sheetFormatPr defaultRowHeight="13.2"/>
  <cols>
    <col min="1" max="1" width="2" customWidth="1"/>
    <col min="2" max="2" width="26.109375" customWidth="1"/>
    <col min="3" max="3" width="22.33203125" customWidth="1"/>
    <col min="4" max="4" width="7.33203125" customWidth="1"/>
    <col min="5" max="5" width="7.109375" customWidth="1"/>
    <col min="11" max="11" width="11.109375" customWidth="1"/>
    <col min="12" max="12" width="12.33203125" customWidth="1"/>
  </cols>
  <sheetData>
    <row r="1" spans="1:12" ht="12.75" customHeight="1">
      <c r="I1" s="151" t="s">
        <v>61</v>
      </c>
      <c r="J1" s="151"/>
      <c r="K1" s="151"/>
    </row>
    <row r="2" spans="1:12" ht="36.75" customHeight="1">
      <c r="C2" s="152" t="s">
        <v>14</v>
      </c>
      <c r="D2" s="152"/>
      <c r="E2" s="152"/>
      <c r="F2" s="152"/>
      <c r="G2" s="152"/>
      <c r="I2" s="151"/>
      <c r="J2" s="151"/>
      <c r="K2" s="151"/>
    </row>
    <row r="3" spans="1:12">
      <c r="C3" s="153" t="s">
        <v>15</v>
      </c>
      <c r="D3" s="153"/>
      <c r="E3" s="153"/>
      <c r="F3" s="153"/>
      <c r="G3" s="153"/>
      <c r="I3" s="13"/>
      <c r="J3" s="13"/>
    </row>
    <row r="4" spans="1:12">
      <c r="C4" s="127"/>
      <c r="D4" s="127"/>
      <c r="E4" s="127"/>
      <c r="F4" s="127"/>
      <c r="G4" s="127"/>
    </row>
    <row r="5" spans="1:12" ht="27" customHeight="1">
      <c r="B5" s="154" t="s">
        <v>16</v>
      </c>
      <c r="C5" s="154"/>
      <c r="D5" s="147" t="s">
        <v>17</v>
      </c>
      <c r="E5" s="147"/>
      <c r="F5" s="155" t="s">
        <v>18</v>
      </c>
      <c r="G5" s="156"/>
      <c r="H5" s="14"/>
      <c r="I5" s="157" t="s">
        <v>19</v>
      </c>
      <c r="J5" s="157"/>
    </row>
    <row r="6" spans="1:12">
      <c r="C6" s="127"/>
      <c r="D6" s="146"/>
      <c r="E6" s="147"/>
      <c r="F6" s="148">
        <v>43033</v>
      </c>
      <c r="G6" s="147"/>
      <c r="H6" s="149" t="s">
        <v>63</v>
      </c>
      <c r="I6" s="150"/>
      <c r="J6" s="150"/>
      <c r="K6" s="150"/>
      <c r="L6" s="150"/>
    </row>
    <row r="7" spans="1:12">
      <c r="B7" t="s">
        <v>62</v>
      </c>
      <c r="C7" s="127"/>
      <c r="D7" s="127"/>
      <c r="E7" s="127"/>
      <c r="F7" s="127"/>
      <c r="G7" s="127"/>
      <c r="I7" s="13"/>
      <c r="J7" s="13"/>
      <c r="K7" s="13"/>
    </row>
    <row r="8" spans="1:12">
      <c r="I8" s="15"/>
      <c r="J8" s="15"/>
      <c r="K8" s="15"/>
    </row>
    <row r="9" spans="1:12">
      <c r="A9" s="4"/>
      <c r="B9" s="4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64.5" customHeight="1">
      <c r="A10" s="4"/>
      <c r="B10" s="16" t="s">
        <v>20</v>
      </c>
      <c r="C10" s="6" t="s">
        <v>21</v>
      </c>
      <c r="D10" s="12" t="s">
        <v>33</v>
      </c>
      <c r="E10" s="12" t="s">
        <v>22</v>
      </c>
      <c r="F10" s="5" t="s">
        <v>0</v>
      </c>
      <c r="G10" s="12" t="s">
        <v>6</v>
      </c>
      <c r="H10" s="12" t="s">
        <v>7</v>
      </c>
      <c r="I10" s="12" t="s">
        <v>5</v>
      </c>
      <c r="J10" s="12" t="s">
        <v>13</v>
      </c>
      <c r="K10" s="12" t="s">
        <v>32</v>
      </c>
      <c r="L10" s="5" t="s">
        <v>1</v>
      </c>
    </row>
    <row r="11" spans="1:12">
      <c r="A11" s="4"/>
      <c r="B11" s="8"/>
      <c r="C11" s="7" t="s">
        <v>8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4"/>
      <c r="B12" s="10" t="s">
        <v>2</v>
      </c>
      <c r="C12" s="10"/>
      <c r="D12" s="1"/>
      <c r="E12" s="1"/>
      <c r="F12" s="11"/>
      <c r="G12" s="11"/>
      <c r="H12" s="11"/>
      <c r="I12" s="11"/>
      <c r="J12" s="11"/>
      <c r="K12" s="11"/>
      <c r="L12" s="11"/>
    </row>
    <row r="13" spans="1:12">
      <c r="A13" s="4">
        <v>1</v>
      </c>
      <c r="B13" s="8"/>
      <c r="C13" s="7" t="s">
        <v>2</v>
      </c>
      <c r="D13" s="3">
        <v>25</v>
      </c>
      <c r="E13" s="3">
        <v>1300</v>
      </c>
      <c r="F13" s="11">
        <f>D13*E13</f>
        <v>32500</v>
      </c>
      <c r="G13" s="11">
        <f>F13*50%</f>
        <v>16250</v>
      </c>
      <c r="H13" s="11">
        <f>F13*25%</f>
        <v>8125</v>
      </c>
      <c r="I13" s="11">
        <f>F13*25%</f>
        <v>8125</v>
      </c>
      <c r="J13" s="11">
        <f>F13*25%</f>
        <v>8125</v>
      </c>
      <c r="K13" s="11">
        <f>F13*2/12</f>
        <v>5416.666666666667</v>
      </c>
      <c r="L13" s="11">
        <f>SUM(F13:K13)</f>
        <v>78541.666666666672</v>
      </c>
    </row>
    <row r="14" spans="1:12">
      <c r="A14" s="4"/>
      <c r="B14" s="8"/>
      <c r="C14" s="7"/>
      <c r="D14" s="3"/>
      <c r="E14" s="3"/>
      <c r="F14" s="2"/>
      <c r="G14" s="2"/>
      <c r="H14" s="2"/>
      <c r="I14" s="2"/>
      <c r="J14" s="2"/>
      <c r="K14" s="2"/>
      <c r="L14" s="2"/>
    </row>
    <row r="15" spans="1:12">
      <c r="A15" s="4"/>
      <c r="B15" s="10" t="s">
        <v>23</v>
      </c>
      <c r="C15" s="10"/>
      <c r="D15" s="1"/>
      <c r="E15" s="1"/>
      <c r="F15" s="11">
        <f>SUM(F17:F18:F16:F20)</f>
        <v>65000</v>
      </c>
      <c r="G15" s="11">
        <f>SUM(G17:G18:G16:G20)</f>
        <v>32500</v>
      </c>
      <c r="H15" s="11">
        <f>SUM(H17:H18:H16:H20)</f>
        <v>16250</v>
      </c>
      <c r="I15" s="11">
        <f>SUM(I17:I18:I16:I20)</f>
        <v>16250</v>
      </c>
      <c r="J15" s="11">
        <f>SUM(J16:J17:J18)</f>
        <v>16250</v>
      </c>
      <c r="K15" s="11">
        <f>SUM(K16:K17:K18)</f>
        <v>10833.333333333334</v>
      </c>
      <c r="L15" s="11">
        <f>L17+L18+L20+L16</f>
        <v>157083.33333333331</v>
      </c>
    </row>
    <row r="16" spans="1:12" ht="26.4">
      <c r="A16" s="4">
        <v>2</v>
      </c>
      <c r="B16" s="8"/>
      <c r="C16" s="25" t="s">
        <v>52</v>
      </c>
      <c r="D16" s="1">
        <v>18</v>
      </c>
      <c r="E16" s="3">
        <v>1300</v>
      </c>
      <c r="F16" s="2">
        <f>D16*E16</f>
        <v>23400</v>
      </c>
      <c r="G16" s="2">
        <f>F16*50%</f>
        <v>11700</v>
      </c>
      <c r="H16" s="2">
        <f>F16*25%</f>
        <v>5850</v>
      </c>
      <c r="I16" s="2">
        <f>F16*25%</f>
        <v>5850</v>
      </c>
      <c r="J16" s="2">
        <f>F16*25%</f>
        <v>5850</v>
      </c>
      <c r="K16" s="2">
        <f>F16*2/12</f>
        <v>3900</v>
      </c>
      <c r="L16" s="2">
        <f>SUM(F16:K16)</f>
        <v>56550</v>
      </c>
    </row>
    <row r="17" spans="1:12">
      <c r="A17" s="4">
        <v>3</v>
      </c>
      <c r="B17" s="9"/>
      <c r="C17" s="25" t="s">
        <v>56</v>
      </c>
      <c r="D17" s="1">
        <v>19</v>
      </c>
      <c r="E17" s="3">
        <v>1300</v>
      </c>
      <c r="F17" s="2">
        <f>D17*E17</f>
        <v>24700</v>
      </c>
      <c r="G17" s="2">
        <f>F17*50%</f>
        <v>12350</v>
      </c>
      <c r="H17" s="2">
        <f>F17*25%</f>
        <v>6175</v>
      </c>
      <c r="I17" s="2">
        <f>F17*25%</f>
        <v>6175</v>
      </c>
      <c r="J17" s="2">
        <f>F17*25%</f>
        <v>6175</v>
      </c>
      <c r="K17" s="2">
        <f>F17*2/12</f>
        <v>4116.666666666667</v>
      </c>
      <c r="L17" s="2">
        <f>SUM(F17:K17)</f>
        <v>59691.666666666664</v>
      </c>
    </row>
    <row r="18" spans="1:12" ht="27" customHeight="1">
      <c r="A18" s="4">
        <v>4</v>
      </c>
      <c r="B18" s="9"/>
      <c r="C18" s="25" t="s">
        <v>34</v>
      </c>
      <c r="D18" s="1">
        <v>13</v>
      </c>
      <c r="E18" s="3">
        <v>1300</v>
      </c>
      <c r="F18" s="2">
        <f>D18*E18</f>
        <v>16900</v>
      </c>
      <c r="G18" s="2">
        <f>F18*50%</f>
        <v>8450</v>
      </c>
      <c r="H18" s="2">
        <f>F18*25%</f>
        <v>4225</v>
      </c>
      <c r="I18" s="2">
        <f>F18*25%</f>
        <v>4225</v>
      </c>
      <c r="J18" s="2">
        <f>F18*25%</f>
        <v>4225</v>
      </c>
      <c r="K18" s="2">
        <f>F18*2/12</f>
        <v>2816.6666666666665</v>
      </c>
      <c r="L18" s="2">
        <f>SUM(F18:K18)</f>
        <v>40841.666666666664</v>
      </c>
    </row>
    <row r="19" spans="1:12">
      <c r="A19" s="4"/>
      <c r="B19" s="12"/>
      <c r="C19" s="12"/>
      <c r="D19" s="12"/>
      <c r="E19" s="12"/>
      <c r="F19" s="2"/>
      <c r="G19" s="2"/>
      <c r="H19" s="2"/>
      <c r="I19" s="2"/>
      <c r="J19" s="12"/>
      <c r="K19" s="17"/>
      <c r="L19" s="5"/>
    </row>
    <row r="20" spans="1:12">
      <c r="A20" s="4"/>
      <c r="B20" s="12"/>
      <c r="C20" s="20"/>
      <c r="D20" s="21"/>
      <c r="E20" s="3"/>
      <c r="F20" s="2"/>
      <c r="G20" s="2"/>
      <c r="H20" s="2"/>
      <c r="I20" s="2"/>
      <c r="J20" s="12"/>
      <c r="K20" s="17"/>
      <c r="L20" s="2"/>
    </row>
    <row r="21" spans="1:12">
      <c r="A21" s="4"/>
      <c r="B21" s="20"/>
      <c r="C21" s="20"/>
      <c r="D21" s="21"/>
      <c r="E21" s="3"/>
      <c r="F21" s="2"/>
      <c r="G21" s="2"/>
      <c r="H21" s="2"/>
      <c r="I21" s="2"/>
      <c r="J21" s="2"/>
      <c r="K21" s="2"/>
      <c r="L21" s="2"/>
    </row>
    <row r="22" spans="1:12">
      <c r="L22" s="18"/>
    </row>
  </sheetData>
  <mergeCells count="10">
    <mergeCell ref="D6:E6"/>
    <mergeCell ref="F6:G6"/>
    <mergeCell ref="H6:L6"/>
    <mergeCell ref="I1:K2"/>
    <mergeCell ref="C2:G2"/>
    <mergeCell ref="C3:G3"/>
    <mergeCell ref="B5:C5"/>
    <mergeCell ref="D5:E5"/>
    <mergeCell ref="F5:G5"/>
    <mergeCell ref="I5:J5"/>
  </mergeCells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topLeftCell="A4" workbookViewId="0">
      <selection activeCell="S8" sqref="S8"/>
    </sheetView>
  </sheetViews>
  <sheetFormatPr defaultColWidth="9.109375" defaultRowHeight="13.8"/>
  <cols>
    <col min="1" max="1" width="4.6640625" style="19" customWidth="1"/>
    <col min="2" max="2" width="20" style="19" customWidth="1"/>
    <col min="3" max="3" width="29.88671875" style="19" customWidth="1"/>
    <col min="4" max="4" width="8" style="19" customWidth="1"/>
    <col min="5" max="5" width="6.88671875" style="19" customWidth="1"/>
    <col min="6" max="6" width="12" style="19" customWidth="1"/>
    <col min="7" max="7" width="9.44140625" style="19" customWidth="1"/>
    <col min="8" max="8" width="9.6640625" style="19" customWidth="1"/>
    <col min="9" max="9" width="9.33203125" style="19" customWidth="1"/>
    <col min="10" max="10" width="11.44140625" style="19" customWidth="1"/>
    <col min="11" max="11" width="9.5546875" style="19" bestFit="1" customWidth="1"/>
    <col min="12" max="12" width="10.88671875" style="19" bestFit="1" customWidth="1"/>
    <col min="13" max="13" width="10.5546875" style="19" bestFit="1" customWidth="1"/>
    <col min="14" max="14" width="9.109375" style="19"/>
    <col min="15" max="15" width="9.5546875" style="19" bestFit="1" customWidth="1"/>
    <col min="16" max="19" width="9.109375" style="19"/>
    <col min="20" max="20" width="10.88671875" style="19" customWidth="1"/>
    <col min="21" max="21" width="11.33203125" style="19" customWidth="1"/>
    <col min="22" max="16384" width="9.109375" style="19"/>
  </cols>
  <sheetData>
    <row r="1" spans="1:23" ht="33.75" customHeight="1">
      <c r="A1" s="22"/>
      <c r="B1" s="22"/>
      <c r="C1" s="138" t="s">
        <v>24</v>
      </c>
      <c r="D1" s="138"/>
      <c r="E1" s="138"/>
      <c r="F1" s="138"/>
      <c r="G1" s="138"/>
      <c r="H1" s="138"/>
      <c r="I1" s="22"/>
      <c r="J1" s="139"/>
      <c r="K1" s="139"/>
      <c r="L1" s="139"/>
      <c r="M1" s="139"/>
    </row>
    <row r="2" spans="1:23">
      <c r="A2" s="22"/>
      <c r="B2" s="22"/>
      <c r="C2" s="140" t="s">
        <v>15</v>
      </c>
      <c r="D2" s="140"/>
      <c r="E2" s="140"/>
      <c r="F2" s="140"/>
      <c r="G2" s="140"/>
      <c r="H2" s="140"/>
      <c r="I2" s="22"/>
      <c r="J2" s="110"/>
      <c r="K2" s="110"/>
      <c r="L2" s="22"/>
      <c r="M2" s="22"/>
    </row>
    <row r="3" spans="1:23" ht="24" customHeight="1">
      <c r="A3" s="22"/>
      <c r="B3" s="141" t="s">
        <v>16</v>
      </c>
      <c r="C3" s="142"/>
      <c r="D3" s="113"/>
      <c r="E3" s="132" t="s">
        <v>17</v>
      </c>
      <c r="F3" s="133"/>
      <c r="G3" s="143" t="s">
        <v>18</v>
      </c>
      <c r="H3" s="144"/>
      <c r="I3" s="23"/>
      <c r="J3" s="145" t="s">
        <v>19</v>
      </c>
      <c r="K3" s="145"/>
      <c r="L3" s="22"/>
      <c r="M3" s="22"/>
    </row>
    <row r="4" spans="1:23" ht="15" customHeight="1">
      <c r="A4" s="22"/>
      <c r="B4" s="22"/>
      <c r="C4" s="112"/>
      <c r="D4" s="112"/>
      <c r="E4" s="132">
        <v>3</v>
      </c>
      <c r="F4" s="133"/>
      <c r="G4" s="132" t="s">
        <v>60</v>
      </c>
      <c r="H4" s="133"/>
      <c r="I4" s="134" t="s">
        <v>59</v>
      </c>
      <c r="J4" s="135"/>
      <c r="K4" s="135"/>
      <c r="L4" s="135"/>
      <c r="M4" s="135"/>
    </row>
    <row r="5" spans="1:23" ht="14.4">
      <c r="A5" s="22"/>
      <c r="B5" s="24" t="s">
        <v>58</v>
      </c>
      <c r="C5" s="112"/>
      <c r="D5" s="112"/>
      <c r="E5" s="112"/>
      <c r="F5" s="112"/>
      <c r="G5" s="112"/>
      <c r="H5" s="112"/>
      <c r="I5" s="22"/>
      <c r="J5" s="110"/>
      <c r="K5" s="110"/>
      <c r="L5" s="110"/>
      <c r="M5" s="22"/>
    </row>
    <row r="6" spans="1:23" s="39" customFormat="1" ht="69.599999999999994">
      <c r="A6" s="26" t="s">
        <v>25</v>
      </c>
      <c r="B6" s="27" t="s">
        <v>20</v>
      </c>
      <c r="C6" s="34" t="s">
        <v>21</v>
      </c>
      <c r="D6" s="34" t="s">
        <v>57</v>
      </c>
      <c r="E6" s="35" t="s">
        <v>29</v>
      </c>
      <c r="F6" s="35" t="s">
        <v>27</v>
      </c>
      <c r="G6" s="36" t="s">
        <v>0</v>
      </c>
      <c r="H6" s="37" t="s">
        <v>28</v>
      </c>
      <c r="I6" s="37" t="s">
        <v>7</v>
      </c>
      <c r="J6" s="37" t="s">
        <v>5</v>
      </c>
      <c r="K6" s="37" t="s">
        <v>13</v>
      </c>
      <c r="L6" s="37" t="s">
        <v>31</v>
      </c>
      <c r="M6" s="36" t="s">
        <v>1</v>
      </c>
      <c r="N6" s="38"/>
      <c r="O6" s="92" t="s">
        <v>40</v>
      </c>
      <c r="P6" s="92" t="s">
        <v>41</v>
      </c>
      <c r="Q6" s="92" t="s">
        <v>46</v>
      </c>
      <c r="R6" s="93">
        <v>2E-3</v>
      </c>
      <c r="T6" s="100" t="s">
        <v>54</v>
      </c>
    </row>
    <row r="7" spans="1:23" s="39" customFormat="1">
      <c r="A7" s="28">
        <v>1</v>
      </c>
      <c r="B7" s="29"/>
      <c r="C7" s="40" t="s">
        <v>10</v>
      </c>
      <c r="D7" s="114"/>
      <c r="E7" s="41">
        <v>25</v>
      </c>
      <c r="F7" s="42">
        <v>1300</v>
      </c>
      <c r="G7" s="43">
        <f>E7*F7</f>
        <v>32500</v>
      </c>
      <c r="H7" s="43">
        <f>G7*50%</f>
        <v>16250</v>
      </c>
      <c r="I7" s="43">
        <f>G7*25%</f>
        <v>8125</v>
      </c>
      <c r="J7" s="43">
        <f>G7*25%</f>
        <v>8125</v>
      </c>
      <c r="K7" s="43">
        <f>G7*25%</f>
        <v>8125</v>
      </c>
      <c r="L7" s="43">
        <f>G7*2/12</f>
        <v>5416.666666666667</v>
      </c>
      <c r="M7" s="43">
        <f>SUM(G7:L7)</f>
        <v>78541.666666666672</v>
      </c>
      <c r="N7" s="44"/>
      <c r="O7" s="101">
        <f>M7*12*22%</f>
        <v>207350</v>
      </c>
      <c r="P7" s="101">
        <f>(807000*2.9%)</f>
        <v>23403</v>
      </c>
      <c r="Q7" s="102">
        <f>M7*12*5.1%</f>
        <v>48067.5</v>
      </c>
      <c r="R7" s="102">
        <f>M7*12*0.2%</f>
        <v>1885</v>
      </c>
      <c r="T7" s="94" t="s">
        <v>47</v>
      </c>
      <c r="U7" s="104">
        <v>942504</v>
      </c>
      <c r="V7" s="94" t="s">
        <v>48</v>
      </c>
      <c r="W7" s="104">
        <f>SUM(O7:R7)</f>
        <v>280705.5</v>
      </c>
    </row>
    <row r="8" spans="1:23" s="39" customFormat="1" ht="27.6">
      <c r="A8" s="28"/>
      <c r="B8" s="90" t="s">
        <v>9</v>
      </c>
      <c r="C8" s="91"/>
      <c r="D8" s="115"/>
      <c r="E8" s="69">
        <f>E9+E11+E14+E22+E30</f>
        <v>370</v>
      </c>
      <c r="F8" s="42"/>
      <c r="G8" s="69">
        <f t="shared" ref="G8:M8" si="0">G9+G11+G14+G22+G30</f>
        <v>490838</v>
      </c>
      <c r="H8" s="69">
        <f t="shared" si="0"/>
        <v>276988</v>
      </c>
      <c r="I8" s="69">
        <f t="shared" si="0"/>
        <v>122709.5</v>
      </c>
      <c r="J8" s="69">
        <f t="shared" si="0"/>
        <v>119925</v>
      </c>
      <c r="K8" s="69">
        <f t="shared" si="0"/>
        <v>106925</v>
      </c>
      <c r="L8" s="69">
        <f t="shared" si="0"/>
        <v>71283.333333333328</v>
      </c>
      <c r="M8" s="43">
        <f t="shared" si="0"/>
        <v>1188668.8333333333</v>
      </c>
      <c r="N8" s="44"/>
      <c r="O8" s="43">
        <f>O9+O11+O14+O22+O30</f>
        <v>3138085.7199999997</v>
      </c>
      <c r="P8" s="43">
        <f>P9+P11+P14+P22+P30</f>
        <v>413656.75399999996</v>
      </c>
      <c r="Q8" s="43">
        <f>Q9+Q11+Q14+Q22+Q30</f>
        <v>727465.326</v>
      </c>
      <c r="R8" s="43">
        <f>R9+R11+R14+R22+R30</f>
        <v>28528.052000000003</v>
      </c>
      <c r="T8" s="99" t="s">
        <v>55</v>
      </c>
      <c r="U8" s="43">
        <f>U9+U11+U14+U22+U30</f>
        <v>14264026</v>
      </c>
      <c r="W8" s="43">
        <f>W9+W11+W14+W22+W30</f>
        <v>4307735.852</v>
      </c>
    </row>
    <row r="9" spans="1:23" s="39" customFormat="1" ht="34.5" customHeight="1">
      <c r="A9" s="28"/>
      <c r="B9" s="45" t="s">
        <v>45</v>
      </c>
      <c r="C9" s="40"/>
      <c r="D9" s="114">
        <v>1</v>
      </c>
      <c r="E9" s="41">
        <f>E10</f>
        <v>21</v>
      </c>
      <c r="F9" s="47"/>
      <c r="G9" s="43">
        <f t="shared" ref="G9:M9" si="1">G10</f>
        <v>27300</v>
      </c>
      <c r="H9" s="43">
        <f t="shared" si="1"/>
        <v>13650</v>
      </c>
      <c r="I9" s="43">
        <f t="shared" si="1"/>
        <v>6825</v>
      </c>
      <c r="J9" s="43">
        <f t="shared" si="1"/>
        <v>6825</v>
      </c>
      <c r="K9" s="43">
        <f t="shared" si="1"/>
        <v>6825</v>
      </c>
      <c r="L9" s="43">
        <f t="shared" si="1"/>
        <v>4550</v>
      </c>
      <c r="M9" s="43">
        <f t="shared" si="1"/>
        <v>65975</v>
      </c>
      <c r="N9" s="44"/>
      <c r="O9" s="43">
        <f>O10</f>
        <v>174174</v>
      </c>
      <c r="P9" s="43">
        <f>P10</f>
        <v>22959.3</v>
      </c>
      <c r="Q9" s="43">
        <f>Q10</f>
        <v>40376.699999999997</v>
      </c>
      <c r="R9" s="43">
        <f>R10</f>
        <v>1583.4</v>
      </c>
      <c r="T9" s="95" t="s">
        <v>47</v>
      </c>
      <c r="U9" s="96">
        <f>M9*12</f>
        <v>791700</v>
      </c>
      <c r="V9" s="95" t="s">
        <v>48</v>
      </c>
      <c r="W9" s="97">
        <f>SUM(O9:R9)</f>
        <v>239093.4</v>
      </c>
    </row>
    <row r="10" spans="1:23" s="39" customFormat="1">
      <c r="A10" s="30">
        <v>2</v>
      </c>
      <c r="B10" s="31"/>
      <c r="C10" s="48" t="s">
        <v>11</v>
      </c>
      <c r="D10" s="116"/>
      <c r="E10" s="46">
        <v>21</v>
      </c>
      <c r="F10" s="47">
        <v>1300</v>
      </c>
      <c r="G10" s="49">
        <f>E10*F10</f>
        <v>27300</v>
      </c>
      <c r="H10" s="49">
        <f>G10*50%</f>
        <v>13650</v>
      </c>
      <c r="I10" s="49">
        <f>G10*25%</f>
        <v>6825</v>
      </c>
      <c r="J10" s="49">
        <f>G10*25%</f>
        <v>6825</v>
      </c>
      <c r="K10" s="49">
        <f>G10*25%</f>
        <v>6825</v>
      </c>
      <c r="L10" s="49">
        <f>G10*2/12</f>
        <v>4550</v>
      </c>
      <c r="M10" s="49">
        <f>SUM(G10:L10)</f>
        <v>65975</v>
      </c>
      <c r="N10" s="44"/>
      <c r="O10" s="39">
        <f>M10*12*22%</f>
        <v>174174</v>
      </c>
      <c r="P10" s="44">
        <f>M10*12*2.9%</f>
        <v>22959.3</v>
      </c>
      <c r="Q10" s="44">
        <f>M10*12*5.1%</f>
        <v>40376.699999999997</v>
      </c>
      <c r="R10" s="44">
        <f>M10*12*0.2%</f>
        <v>1583.4</v>
      </c>
    </row>
    <row r="11" spans="1:23" s="39" customFormat="1" ht="46.5" customHeight="1">
      <c r="A11" s="28"/>
      <c r="B11" s="136" t="s">
        <v>42</v>
      </c>
      <c r="C11" s="137"/>
      <c r="D11" s="117"/>
      <c r="E11" s="50">
        <f>SUM(E12:E13)</f>
        <v>37</v>
      </c>
      <c r="F11" s="50"/>
      <c r="G11" s="51">
        <f t="shared" ref="G11:M11" si="2">SUM(G12:G13)</f>
        <v>48100</v>
      </c>
      <c r="H11" s="51">
        <f t="shared" si="2"/>
        <v>24050</v>
      </c>
      <c r="I11" s="51">
        <f t="shared" si="2"/>
        <v>12025</v>
      </c>
      <c r="J11" s="51">
        <f t="shared" si="2"/>
        <v>12025</v>
      </c>
      <c r="K11" s="51">
        <f t="shared" si="2"/>
        <v>12025</v>
      </c>
      <c r="L11" s="51">
        <f t="shared" si="2"/>
        <v>8016.6666666666661</v>
      </c>
      <c r="M11" s="52">
        <f t="shared" si="2"/>
        <v>116241.66666666666</v>
      </c>
      <c r="N11" s="44"/>
      <c r="O11" s="52">
        <f>SUM(O12:O13)</f>
        <v>306878</v>
      </c>
      <c r="P11" s="52">
        <f>SUM(P12:P13)</f>
        <v>40452.1</v>
      </c>
      <c r="Q11" s="52">
        <f>SUM(Q12:Q13)</f>
        <v>71139.899999999994</v>
      </c>
      <c r="R11" s="52">
        <f>SUM(R12:R13)</f>
        <v>2789.8</v>
      </c>
      <c r="T11" s="95" t="s">
        <v>47</v>
      </c>
      <c r="U11" s="96">
        <f>M11*12</f>
        <v>1394900</v>
      </c>
      <c r="V11" s="95" t="s">
        <v>48</v>
      </c>
      <c r="W11" s="97">
        <f>SUM(O11:R11)</f>
        <v>421259.8</v>
      </c>
    </row>
    <row r="12" spans="1:23" s="39" customFormat="1">
      <c r="A12" s="28">
        <v>3</v>
      </c>
      <c r="B12" s="32"/>
      <c r="C12" s="53" t="s">
        <v>12</v>
      </c>
      <c r="D12" s="118">
        <v>1</v>
      </c>
      <c r="E12" s="46">
        <v>21</v>
      </c>
      <c r="F12" s="47">
        <v>1300</v>
      </c>
      <c r="G12" s="49">
        <f>E12*F12</f>
        <v>27300</v>
      </c>
      <c r="H12" s="49">
        <f>G12*50%</f>
        <v>13650</v>
      </c>
      <c r="I12" s="49">
        <f>G12*25%</f>
        <v>6825</v>
      </c>
      <c r="J12" s="49">
        <f>G12*25%</f>
        <v>6825</v>
      </c>
      <c r="K12" s="49">
        <f>G12*25%</f>
        <v>6825</v>
      </c>
      <c r="L12" s="49">
        <f>G12*2/12</f>
        <v>4550</v>
      </c>
      <c r="M12" s="49">
        <f>SUM(G12:L12)</f>
        <v>65975</v>
      </c>
      <c r="N12" s="44"/>
      <c r="O12" s="39">
        <f>M12*12*22%</f>
        <v>174174</v>
      </c>
      <c r="P12" s="44">
        <f>M12*12*2.9%</f>
        <v>22959.3</v>
      </c>
      <c r="Q12" s="44">
        <f>M12*12*5.1%</f>
        <v>40376.699999999997</v>
      </c>
      <c r="R12" s="44">
        <f>M12*12*0.2%</f>
        <v>1583.4</v>
      </c>
    </row>
    <row r="13" spans="1:23" s="39" customFormat="1">
      <c r="A13" s="28">
        <v>4</v>
      </c>
      <c r="B13" s="32"/>
      <c r="C13" s="54" t="s">
        <v>3</v>
      </c>
      <c r="D13" s="119">
        <v>1</v>
      </c>
      <c r="E13" s="55">
        <v>16</v>
      </c>
      <c r="F13" s="56">
        <v>1300</v>
      </c>
      <c r="G13" s="57">
        <f>E13*F13</f>
        <v>20800</v>
      </c>
      <c r="H13" s="57">
        <f>G13*50%</f>
        <v>10400</v>
      </c>
      <c r="I13" s="57">
        <f>G13*25%</f>
        <v>5200</v>
      </c>
      <c r="J13" s="57">
        <f>G13*25%</f>
        <v>5200</v>
      </c>
      <c r="K13" s="57">
        <f>G13*25%</f>
        <v>5200</v>
      </c>
      <c r="L13" s="57">
        <f>G13*2/12</f>
        <v>3466.6666666666665</v>
      </c>
      <c r="M13" s="57">
        <f>SUM(G13:L13)</f>
        <v>50266.666666666664</v>
      </c>
      <c r="N13" s="44"/>
      <c r="O13" s="39">
        <f>M13*12*22%</f>
        <v>132704</v>
      </c>
      <c r="P13" s="44">
        <f>M13*12*2.9%</f>
        <v>17492.8</v>
      </c>
      <c r="Q13" s="44">
        <f>M13*12*5.1%</f>
        <v>30763.199999999997</v>
      </c>
      <c r="R13" s="44">
        <f>M13*12*0.2%</f>
        <v>1206.4000000000001</v>
      </c>
    </row>
    <row r="14" spans="1:23" s="39" customFormat="1" ht="45.75" customHeight="1">
      <c r="A14" s="28"/>
      <c r="B14" s="136" t="s">
        <v>50</v>
      </c>
      <c r="C14" s="137"/>
      <c r="D14" s="117"/>
      <c r="E14" s="51">
        <f>SUM(E15:E21)</f>
        <v>105</v>
      </c>
      <c r="F14" s="51"/>
      <c r="G14" s="51">
        <f t="shared" ref="G14:M14" si="3">SUM(G15:G21)</f>
        <v>136500</v>
      </c>
      <c r="H14" s="51">
        <f t="shared" si="3"/>
        <v>68250</v>
      </c>
      <c r="I14" s="51">
        <f t="shared" si="3"/>
        <v>34125</v>
      </c>
      <c r="J14" s="51">
        <f t="shared" si="3"/>
        <v>34125</v>
      </c>
      <c r="K14" s="51">
        <f t="shared" si="3"/>
        <v>34125</v>
      </c>
      <c r="L14" s="51">
        <f t="shared" si="3"/>
        <v>22750</v>
      </c>
      <c r="M14" s="52">
        <f t="shared" si="3"/>
        <v>329875</v>
      </c>
      <c r="N14" s="44"/>
      <c r="O14" s="52">
        <f>SUM(O15:O21)</f>
        <v>870870</v>
      </c>
      <c r="P14" s="52">
        <f>SUM(P15:P21)</f>
        <v>114796.49999999999</v>
      </c>
      <c r="Q14" s="52">
        <f>SUM(Q15:Q21)</f>
        <v>201883.5</v>
      </c>
      <c r="R14" s="52">
        <f>SUM(R15:R21)</f>
        <v>7917.0000000000009</v>
      </c>
      <c r="T14" s="98">
        <v>211</v>
      </c>
      <c r="U14" s="96">
        <f>M14*12</f>
        <v>3958500</v>
      </c>
      <c r="V14" s="98">
        <v>213</v>
      </c>
      <c r="W14" s="97">
        <f>SUM(O14:R14)</f>
        <v>1195467</v>
      </c>
    </row>
    <row r="15" spans="1:23" s="39" customFormat="1" ht="33.75" customHeight="1">
      <c r="A15" s="28">
        <v>5</v>
      </c>
      <c r="B15" s="32"/>
      <c r="C15" s="58" t="s">
        <v>43</v>
      </c>
      <c r="D15" s="120">
        <v>1</v>
      </c>
      <c r="E15" s="59">
        <v>18</v>
      </c>
      <c r="F15" s="60">
        <v>1300</v>
      </c>
      <c r="G15" s="61">
        <f t="shared" ref="G15:G21" si="4">E15*F15</f>
        <v>23400</v>
      </c>
      <c r="H15" s="61">
        <f t="shared" ref="H15:H21" si="5">G15*50%</f>
        <v>11700</v>
      </c>
      <c r="I15" s="61">
        <f t="shared" ref="I15:I21" si="6">G15*25%</f>
        <v>5850</v>
      </c>
      <c r="J15" s="61">
        <f t="shared" ref="J15:J21" si="7">G15*25%</f>
        <v>5850</v>
      </c>
      <c r="K15" s="61">
        <f t="shared" ref="K15:K21" si="8">G15*25%</f>
        <v>5850</v>
      </c>
      <c r="L15" s="61">
        <f t="shared" ref="L15:L21" si="9">G15*2/12</f>
        <v>3900</v>
      </c>
      <c r="M15" s="61">
        <f t="shared" ref="M15:M21" si="10">SUM(G15:L15)</f>
        <v>56550</v>
      </c>
      <c r="N15" s="44"/>
      <c r="O15" s="39">
        <f t="shared" ref="O15:O21" si="11">M15*12*22%</f>
        <v>149292</v>
      </c>
      <c r="P15" s="44">
        <f>M15*2.9%*12</f>
        <v>19679.399999999998</v>
      </c>
      <c r="Q15" s="44">
        <f t="shared" ref="Q15:Q21" si="12">M15*12*5.1%</f>
        <v>34608.6</v>
      </c>
      <c r="R15" s="44">
        <f t="shared" ref="R15:R21" si="13">M15*12*0.2%</f>
        <v>1357.2</v>
      </c>
      <c r="T15" s="44"/>
      <c r="U15" s="44"/>
      <c r="V15" s="44"/>
    </row>
    <row r="16" spans="1:23" s="39" customFormat="1" ht="33.75" customHeight="1">
      <c r="A16" s="30">
        <v>6</v>
      </c>
      <c r="B16" s="33"/>
      <c r="C16" s="62" t="s">
        <v>3</v>
      </c>
      <c r="D16" s="124">
        <v>1</v>
      </c>
      <c r="E16" s="63">
        <v>16</v>
      </c>
      <c r="F16" s="49">
        <v>1300</v>
      </c>
      <c r="G16" s="49">
        <f>E16*F16</f>
        <v>20800</v>
      </c>
      <c r="H16" s="49">
        <f>G16*50%</f>
        <v>10400</v>
      </c>
      <c r="I16" s="49">
        <f>G16*25%</f>
        <v>5200</v>
      </c>
      <c r="J16" s="49">
        <f>G16*25%</f>
        <v>5200</v>
      </c>
      <c r="K16" s="49">
        <f>G16*25%</f>
        <v>5200</v>
      </c>
      <c r="L16" s="49">
        <f>G16*2/12</f>
        <v>3466.6666666666665</v>
      </c>
      <c r="M16" s="49">
        <f>SUM(G16:L16)</f>
        <v>50266.666666666664</v>
      </c>
      <c r="N16" s="44"/>
      <c r="O16" s="39">
        <f>M16*12*22%</f>
        <v>132704</v>
      </c>
      <c r="P16" s="44">
        <f>M16*12*2.9%</f>
        <v>17492.8</v>
      </c>
      <c r="Q16" s="44">
        <f>M16*12*5.1%</f>
        <v>30763.199999999997</v>
      </c>
      <c r="R16" s="44">
        <f>M16*12*0.2%</f>
        <v>1206.4000000000001</v>
      </c>
      <c r="T16" s="44"/>
      <c r="U16" s="44"/>
      <c r="V16" s="44"/>
    </row>
    <row r="17" spans="1:23" s="39" customFormat="1" ht="33.75" customHeight="1">
      <c r="A17" s="30">
        <v>7</v>
      </c>
      <c r="B17" s="33"/>
      <c r="C17" s="64" t="s">
        <v>3</v>
      </c>
      <c r="D17" s="125">
        <v>1</v>
      </c>
      <c r="E17" s="65">
        <v>16</v>
      </c>
      <c r="F17" s="57">
        <v>1300</v>
      </c>
      <c r="G17" s="57">
        <f>E17*F17</f>
        <v>20800</v>
      </c>
      <c r="H17" s="57">
        <f>G17*50%</f>
        <v>10400</v>
      </c>
      <c r="I17" s="57">
        <f>G17*25%</f>
        <v>5200</v>
      </c>
      <c r="J17" s="57">
        <f>G17*25%</f>
        <v>5200</v>
      </c>
      <c r="K17" s="57">
        <f>G17*25%</f>
        <v>5200</v>
      </c>
      <c r="L17" s="57">
        <f>G17*2/12</f>
        <v>3466.6666666666665</v>
      </c>
      <c r="M17" s="57">
        <f>SUM(G17:L17)</f>
        <v>50266.666666666664</v>
      </c>
      <c r="N17" s="44"/>
      <c r="O17" s="39">
        <f>M17*12*22%</f>
        <v>132704</v>
      </c>
      <c r="P17" s="44">
        <f>M17*12*2.9%</f>
        <v>17492.8</v>
      </c>
      <c r="Q17" s="44">
        <f>M17*12*5.1%</f>
        <v>30763.199999999997</v>
      </c>
      <c r="R17" s="44">
        <f>M17*12*0.2%</f>
        <v>1206.4000000000001</v>
      </c>
      <c r="T17" s="44"/>
      <c r="U17" s="44"/>
      <c r="V17" s="44"/>
    </row>
    <row r="18" spans="1:23" s="39" customFormat="1" ht="19.5" customHeight="1">
      <c r="A18" s="30">
        <v>8</v>
      </c>
      <c r="B18" s="31"/>
      <c r="C18" s="53" t="s">
        <v>39</v>
      </c>
      <c r="D18" s="118">
        <v>1</v>
      </c>
      <c r="E18" s="46">
        <v>14</v>
      </c>
      <c r="F18" s="47">
        <v>1300</v>
      </c>
      <c r="G18" s="49">
        <f t="shared" si="4"/>
        <v>18200</v>
      </c>
      <c r="H18" s="49">
        <f t="shared" si="5"/>
        <v>9100</v>
      </c>
      <c r="I18" s="49">
        <f t="shared" si="6"/>
        <v>4550</v>
      </c>
      <c r="J18" s="49">
        <f t="shared" si="7"/>
        <v>4550</v>
      </c>
      <c r="K18" s="49">
        <f t="shared" si="8"/>
        <v>4550</v>
      </c>
      <c r="L18" s="49">
        <f t="shared" si="9"/>
        <v>3033.3333333333335</v>
      </c>
      <c r="M18" s="49">
        <f t="shared" si="10"/>
        <v>43983.333333333336</v>
      </c>
      <c r="N18" s="44"/>
      <c r="O18" s="39">
        <f t="shared" si="11"/>
        <v>116116</v>
      </c>
      <c r="P18" s="44">
        <f t="shared" ref="P18:P21" si="14">M18*12*2.9%</f>
        <v>15306.199999999999</v>
      </c>
      <c r="Q18" s="44">
        <f t="shared" si="12"/>
        <v>26917.8</v>
      </c>
      <c r="R18" s="44">
        <f t="shared" si="13"/>
        <v>1055.5999999999999</v>
      </c>
    </row>
    <row r="19" spans="1:23" s="39" customFormat="1">
      <c r="A19" s="30">
        <v>9</v>
      </c>
      <c r="B19" s="33"/>
      <c r="C19" s="62" t="s">
        <v>39</v>
      </c>
      <c r="D19" s="124">
        <v>1</v>
      </c>
      <c r="E19" s="63">
        <v>14</v>
      </c>
      <c r="F19" s="49">
        <v>1300</v>
      </c>
      <c r="G19" s="49">
        <f t="shared" si="4"/>
        <v>18200</v>
      </c>
      <c r="H19" s="49">
        <f t="shared" si="5"/>
        <v>9100</v>
      </c>
      <c r="I19" s="49">
        <f t="shared" si="6"/>
        <v>4550</v>
      </c>
      <c r="J19" s="49">
        <f t="shared" si="7"/>
        <v>4550</v>
      </c>
      <c r="K19" s="49">
        <f t="shared" si="8"/>
        <v>4550</v>
      </c>
      <c r="L19" s="49">
        <f t="shared" si="9"/>
        <v>3033.3333333333335</v>
      </c>
      <c r="M19" s="49">
        <f t="shared" si="10"/>
        <v>43983.333333333336</v>
      </c>
      <c r="N19" s="49"/>
      <c r="O19" s="39">
        <f t="shared" si="11"/>
        <v>116116</v>
      </c>
      <c r="P19" s="44">
        <f t="shared" si="14"/>
        <v>15306.199999999999</v>
      </c>
      <c r="Q19" s="44">
        <f t="shared" si="12"/>
        <v>26917.8</v>
      </c>
      <c r="R19" s="44">
        <f t="shared" si="13"/>
        <v>1055.5999999999999</v>
      </c>
    </row>
    <row r="20" spans="1:23" s="39" customFormat="1">
      <c r="A20" s="30">
        <v>10</v>
      </c>
      <c r="B20" s="33"/>
      <c r="C20" s="62" t="s">
        <v>39</v>
      </c>
      <c r="D20" s="124">
        <v>1</v>
      </c>
      <c r="E20" s="63">
        <v>14</v>
      </c>
      <c r="F20" s="49">
        <v>1300</v>
      </c>
      <c r="G20" s="49">
        <f t="shared" si="4"/>
        <v>18200</v>
      </c>
      <c r="H20" s="49">
        <f t="shared" si="5"/>
        <v>9100</v>
      </c>
      <c r="I20" s="49">
        <f t="shared" si="6"/>
        <v>4550</v>
      </c>
      <c r="J20" s="49">
        <f t="shared" si="7"/>
        <v>4550</v>
      </c>
      <c r="K20" s="49">
        <f t="shared" si="8"/>
        <v>4550</v>
      </c>
      <c r="L20" s="49">
        <f t="shared" si="9"/>
        <v>3033.3333333333335</v>
      </c>
      <c r="M20" s="49">
        <f t="shared" si="10"/>
        <v>43983.333333333336</v>
      </c>
      <c r="N20" s="44"/>
      <c r="O20" s="39">
        <f t="shared" si="11"/>
        <v>116116</v>
      </c>
      <c r="P20" s="44">
        <f t="shared" si="14"/>
        <v>15306.199999999999</v>
      </c>
      <c r="Q20" s="44">
        <f t="shared" si="12"/>
        <v>26917.8</v>
      </c>
      <c r="R20" s="44">
        <f t="shared" si="13"/>
        <v>1055.5999999999999</v>
      </c>
    </row>
    <row r="21" spans="1:23" s="39" customFormat="1" ht="41.4" customHeight="1">
      <c r="A21" s="30">
        <v>11</v>
      </c>
      <c r="B21" s="106"/>
      <c r="C21" s="53" t="s">
        <v>4</v>
      </c>
      <c r="D21" s="118">
        <v>1</v>
      </c>
      <c r="E21" s="46">
        <v>13</v>
      </c>
      <c r="F21" s="47">
        <v>1300</v>
      </c>
      <c r="G21" s="49">
        <f t="shared" si="4"/>
        <v>16900</v>
      </c>
      <c r="H21" s="49">
        <f t="shared" si="5"/>
        <v>8450</v>
      </c>
      <c r="I21" s="49">
        <f t="shared" si="6"/>
        <v>4225</v>
      </c>
      <c r="J21" s="49">
        <f t="shared" si="7"/>
        <v>4225</v>
      </c>
      <c r="K21" s="49">
        <f t="shared" si="8"/>
        <v>4225</v>
      </c>
      <c r="L21" s="49">
        <f t="shared" si="9"/>
        <v>2816.6666666666665</v>
      </c>
      <c r="M21" s="49">
        <f t="shared" si="10"/>
        <v>40841.666666666664</v>
      </c>
      <c r="N21" s="44"/>
      <c r="O21" s="39">
        <f t="shared" si="11"/>
        <v>107822</v>
      </c>
      <c r="P21" s="44">
        <f t="shared" si="14"/>
        <v>14212.9</v>
      </c>
      <c r="Q21" s="44">
        <f t="shared" si="12"/>
        <v>24995.1</v>
      </c>
      <c r="R21" s="44">
        <f t="shared" si="13"/>
        <v>980.2</v>
      </c>
    </row>
    <row r="22" spans="1:23" s="39" customFormat="1" ht="68.400000000000006" customHeight="1">
      <c r="A22" s="66"/>
      <c r="B22" s="128" t="s">
        <v>44</v>
      </c>
      <c r="C22" s="129"/>
      <c r="D22" s="121"/>
      <c r="E22" s="50">
        <f>SUM(E23:E29)</f>
        <v>105</v>
      </c>
      <c r="F22" s="50"/>
      <c r="G22" s="51">
        <f t="shared" ref="G22:M22" si="15">SUM(G23:G29)</f>
        <v>136500</v>
      </c>
      <c r="H22" s="51">
        <f t="shared" si="15"/>
        <v>68250</v>
      </c>
      <c r="I22" s="51">
        <f t="shared" si="15"/>
        <v>34125</v>
      </c>
      <c r="J22" s="51">
        <f t="shared" si="15"/>
        <v>34125</v>
      </c>
      <c r="K22" s="51">
        <f t="shared" si="15"/>
        <v>34125</v>
      </c>
      <c r="L22" s="51">
        <f t="shared" si="15"/>
        <v>22750</v>
      </c>
      <c r="M22" s="52">
        <f t="shared" si="15"/>
        <v>329875</v>
      </c>
      <c r="N22" s="44"/>
      <c r="O22" s="52">
        <f>SUM(O23:O29)</f>
        <v>870870</v>
      </c>
      <c r="P22" s="52">
        <f>SUM(P23:P29)</f>
        <v>114796.49999999999</v>
      </c>
      <c r="Q22" s="52">
        <f>SUM(Q23:Q29)</f>
        <v>201883.5</v>
      </c>
      <c r="R22" s="52">
        <f>SUM(R23:R29)</f>
        <v>7917.0000000000009</v>
      </c>
      <c r="T22" s="98">
        <v>211</v>
      </c>
      <c r="U22" s="96">
        <f>M22*12</f>
        <v>3958500</v>
      </c>
      <c r="V22" s="98">
        <v>213</v>
      </c>
      <c r="W22" s="97">
        <f>SUM(O22:R22)</f>
        <v>1195467</v>
      </c>
    </row>
    <row r="23" spans="1:23" s="39" customFormat="1" ht="45" customHeight="1">
      <c r="A23" s="28">
        <v>12</v>
      </c>
      <c r="B23" s="67"/>
      <c r="C23" s="68" t="s">
        <v>51</v>
      </c>
      <c r="D23" s="122">
        <v>1</v>
      </c>
      <c r="E23" s="59">
        <v>18</v>
      </c>
      <c r="F23" s="61">
        <v>1300</v>
      </c>
      <c r="G23" s="61">
        <f t="shared" ref="G23:G29" si="16">E23*F23</f>
        <v>23400</v>
      </c>
      <c r="H23" s="61">
        <f t="shared" ref="H23:H29" si="17">G23*50%</f>
        <v>11700</v>
      </c>
      <c r="I23" s="61">
        <f t="shared" ref="I23:I29" si="18">G23*25%</f>
        <v>5850</v>
      </c>
      <c r="J23" s="61">
        <f t="shared" ref="J23:J29" si="19">G23*25%</f>
        <v>5850</v>
      </c>
      <c r="K23" s="61">
        <f t="shared" ref="K23:K29" si="20">G23*25%</f>
        <v>5850</v>
      </c>
      <c r="L23" s="61">
        <f t="shared" ref="L23:L29" si="21">G23*2/12</f>
        <v>3900</v>
      </c>
      <c r="M23" s="61">
        <f t="shared" ref="M23:M29" si="22">SUM(G23:L23)</f>
        <v>56550</v>
      </c>
      <c r="N23" s="44"/>
      <c r="O23" s="39">
        <f t="shared" ref="O23:O29" si="23">M23*12*22%</f>
        <v>149292</v>
      </c>
      <c r="P23" s="44">
        <f>M23*12*2.9%</f>
        <v>19679.399999999998</v>
      </c>
      <c r="Q23" s="44">
        <f t="shared" ref="Q23:Q29" si="24">M23*12*5.1%</f>
        <v>34608.6</v>
      </c>
      <c r="R23" s="44">
        <f t="shared" ref="R23:R29" si="25">M23*12*0.2%</f>
        <v>1357.2</v>
      </c>
    </row>
    <row r="24" spans="1:23" s="39" customFormat="1" ht="45" customHeight="1">
      <c r="A24" s="28">
        <v>13</v>
      </c>
      <c r="B24" s="67"/>
      <c r="C24" s="109" t="s">
        <v>30</v>
      </c>
      <c r="D24" s="123">
        <v>1</v>
      </c>
      <c r="E24" s="65">
        <v>16</v>
      </c>
      <c r="F24" s="57">
        <v>1300</v>
      </c>
      <c r="G24" s="57">
        <f t="shared" si="16"/>
        <v>20800</v>
      </c>
      <c r="H24" s="57">
        <f t="shared" si="17"/>
        <v>10400</v>
      </c>
      <c r="I24" s="57">
        <f t="shared" si="18"/>
        <v>5200</v>
      </c>
      <c r="J24" s="57">
        <f t="shared" si="19"/>
        <v>5200</v>
      </c>
      <c r="K24" s="57">
        <f t="shared" si="20"/>
        <v>5200</v>
      </c>
      <c r="L24" s="57">
        <f t="shared" si="21"/>
        <v>3466.6666666666665</v>
      </c>
      <c r="M24" s="57">
        <f t="shared" ref="M24" si="26">SUM(G24:L24)</f>
        <v>50266.666666666664</v>
      </c>
      <c r="N24" s="44"/>
      <c r="O24" s="39">
        <f t="shared" si="23"/>
        <v>132704</v>
      </c>
      <c r="P24" s="44">
        <f t="shared" ref="P24:P31" si="27">M24*12*2.9%</f>
        <v>17492.8</v>
      </c>
      <c r="Q24" s="44">
        <f t="shared" si="24"/>
        <v>30763.199999999997</v>
      </c>
      <c r="R24" s="44">
        <f t="shared" si="25"/>
        <v>1206.4000000000001</v>
      </c>
    </row>
    <row r="25" spans="1:23" s="39" customFormat="1" ht="23.25" customHeight="1">
      <c r="A25" s="28">
        <v>14</v>
      </c>
      <c r="B25" s="67"/>
      <c r="C25" s="68" t="s">
        <v>30</v>
      </c>
      <c r="D25" s="122">
        <v>1</v>
      </c>
      <c r="E25" s="63">
        <v>16</v>
      </c>
      <c r="F25" s="49">
        <v>1300</v>
      </c>
      <c r="G25" s="49">
        <f t="shared" si="16"/>
        <v>20800</v>
      </c>
      <c r="H25" s="49">
        <f t="shared" si="17"/>
        <v>10400</v>
      </c>
      <c r="I25" s="49">
        <f t="shared" si="18"/>
        <v>5200</v>
      </c>
      <c r="J25" s="49">
        <f t="shared" si="19"/>
        <v>5200</v>
      </c>
      <c r="K25" s="49">
        <f t="shared" si="20"/>
        <v>5200</v>
      </c>
      <c r="L25" s="49">
        <f t="shared" si="21"/>
        <v>3466.6666666666665</v>
      </c>
      <c r="M25" s="49">
        <f t="shared" si="22"/>
        <v>50266.666666666664</v>
      </c>
      <c r="N25" s="44"/>
      <c r="O25" s="39">
        <f t="shared" si="23"/>
        <v>132704</v>
      </c>
      <c r="P25" s="44">
        <f t="shared" si="27"/>
        <v>17492.8</v>
      </c>
      <c r="Q25" s="44">
        <f t="shared" si="24"/>
        <v>30763.199999999997</v>
      </c>
      <c r="R25" s="44">
        <f t="shared" si="25"/>
        <v>1206.4000000000001</v>
      </c>
    </row>
    <row r="26" spans="1:23" s="39" customFormat="1" ht="20.25" customHeight="1">
      <c r="A26" s="28">
        <v>15</v>
      </c>
      <c r="B26" s="30"/>
      <c r="C26" s="53" t="s">
        <v>39</v>
      </c>
      <c r="D26" s="118">
        <v>1</v>
      </c>
      <c r="E26" s="46">
        <v>14</v>
      </c>
      <c r="F26" s="49">
        <v>1300</v>
      </c>
      <c r="G26" s="49">
        <f t="shared" si="16"/>
        <v>18200</v>
      </c>
      <c r="H26" s="49">
        <f t="shared" si="17"/>
        <v>9100</v>
      </c>
      <c r="I26" s="49">
        <f t="shared" si="18"/>
        <v>4550</v>
      </c>
      <c r="J26" s="49">
        <f t="shared" si="19"/>
        <v>4550</v>
      </c>
      <c r="K26" s="49">
        <f t="shared" si="20"/>
        <v>4550</v>
      </c>
      <c r="L26" s="49">
        <f t="shared" si="21"/>
        <v>3033.3333333333335</v>
      </c>
      <c r="M26" s="49">
        <f t="shared" si="22"/>
        <v>43983.333333333336</v>
      </c>
      <c r="N26" s="44"/>
      <c r="O26" s="39">
        <f t="shared" si="23"/>
        <v>116116</v>
      </c>
      <c r="P26" s="44">
        <f t="shared" si="27"/>
        <v>15306.199999999999</v>
      </c>
      <c r="Q26" s="44">
        <f t="shared" si="24"/>
        <v>26917.8</v>
      </c>
      <c r="R26" s="44">
        <f t="shared" si="25"/>
        <v>1055.5999999999999</v>
      </c>
    </row>
    <row r="27" spans="1:23" s="39" customFormat="1" ht="20.25" customHeight="1">
      <c r="A27" s="30">
        <v>16</v>
      </c>
      <c r="B27" s="79"/>
      <c r="C27" s="53" t="s">
        <v>39</v>
      </c>
      <c r="D27" s="118">
        <v>1</v>
      </c>
      <c r="E27" s="63">
        <v>14</v>
      </c>
      <c r="F27" s="49">
        <v>1300</v>
      </c>
      <c r="G27" s="49">
        <f t="shared" si="16"/>
        <v>18200</v>
      </c>
      <c r="H27" s="49">
        <f t="shared" si="17"/>
        <v>9100</v>
      </c>
      <c r="I27" s="49">
        <f t="shared" si="18"/>
        <v>4550</v>
      </c>
      <c r="J27" s="49">
        <f t="shared" si="19"/>
        <v>4550</v>
      </c>
      <c r="K27" s="49">
        <f t="shared" si="20"/>
        <v>4550</v>
      </c>
      <c r="L27" s="49">
        <f t="shared" si="21"/>
        <v>3033.3333333333335</v>
      </c>
      <c r="M27" s="49">
        <f t="shared" si="22"/>
        <v>43983.333333333336</v>
      </c>
      <c r="N27" s="44"/>
      <c r="O27" s="39">
        <f t="shared" si="23"/>
        <v>116116</v>
      </c>
      <c r="P27" s="44">
        <f t="shared" si="27"/>
        <v>15306.199999999999</v>
      </c>
      <c r="Q27" s="44">
        <f t="shared" si="24"/>
        <v>26917.8</v>
      </c>
      <c r="R27" s="44">
        <f t="shared" si="25"/>
        <v>1055.5999999999999</v>
      </c>
      <c r="T27" s="44"/>
    </row>
    <row r="28" spans="1:23" s="39" customFormat="1" ht="20.25" customHeight="1">
      <c r="A28" s="30">
        <v>17</v>
      </c>
      <c r="B28" s="79"/>
      <c r="C28" s="54" t="s">
        <v>39</v>
      </c>
      <c r="D28" s="119">
        <v>1</v>
      </c>
      <c r="E28" s="65">
        <v>14</v>
      </c>
      <c r="F28" s="57">
        <v>1300</v>
      </c>
      <c r="G28" s="57">
        <f>E28*F28*D28</f>
        <v>18200</v>
      </c>
      <c r="H28" s="57">
        <f t="shared" si="17"/>
        <v>9100</v>
      </c>
      <c r="I28" s="57">
        <f t="shared" si="18"/>
        <v>4550</v>
      </c>
      <c r="J28" s="57">
        <f t="shared" si="19"/>
        <v>4550</v>
      </c>
      <c r="K28" s="57">
        <f t="shared" si="20"/>
        <v>4550</v>
      </c>
      <c r="L28" s="57">
        <f t="shared" si="21"/>
        <v>3033.3333333333335</v>
      </c>
      <c r="M28" s="57">
        <f t="shared" si="22"/>
        <v>43983.333333333336</v>
      </c>
      <c r="N28" s="44"/>
      <c r="O28" s="39">
        <f>M28*12*22%</f>
        <v>116116</v>
      </c>
      <c r="P28" s="44">
        <f t="shared" si="27"/>
        <v>15306.199999999999</v>
      </c>
      <c r="Q28" s="44">
        <f t="shared" si="24"/>
        <v>26917.8</v>
      </c>
      <c r="R28" s="44">
        <f t="shared" si="25"/>
        <v>1055.5999999999999</v>
      </c>
    </row>
    <row r="29" spans="1:23" s="39" customFormat="1" ht="18" customHeight="1">
      <c r="A29" s="30">
        <v>18</v>
      </c>
      <c r="B29" s="30"/>
      <c r="C29" s="53" t="s">
        <v>4</v>
      </c>
      <c r="D29" s="118">
        <v>1</v>
      </c>
      <c r="E29" s="46">
        <v>13</v>
      </c>
      <c r="F29" s="49">
        <v>1300</v>
      </c>
      <c r="G29" s="49">
        <f t="shared" si="16"/>
        <v>16900</v>
      </c>
      <c r="H29" s="49">
        <f t="shared" si="17"/>
        <v>8450</v>
      </c>
      <c r="I29" s="49">
        <f t="shared" si="18"/>
        <v>4225</v>
      </c>
      <c r="J29" s="49">
        <f t="shared" si="19"/>
        <v>4225</v>
      </c>
      <c r="K29" s="49">
        <f t="shared" si="20"/>
        <v>4225</v>
      </c>
      <c r="L29" s="49">
        <f t="shared" si="21"/>
        <v>2816.6666666666665</v>
      </c>
      <c r="M29" s="49">
        <f t="shared" si="22"/>
        <v>40841.666666666664</v>
      </c>
      <c r="N29" s="44"/>
      <c r="O29" s="39">
        <f t="shared" si="23"/>
        <v>107822</v>
      </c>
      <c r="P29" s="44">
        <f t="shared" si="27"/>
        <v>14212.9</v>
      </c>
      <c r="Q29" s="44">
        <f t="shared" si="24"/>
        <v>24995.1</v>
      </c>
      <c r="R29" s="44">
        <f t="shared" si="25"/>
        <v>980.2</v>
      </c>
    </row>
    <row r="30" spans="1:23" s="39" customFormat="1" ht="50.25" customHeight="1">
      <c r="A30" s="30"/>
      <c r="B30" s="128" t="s">
        <v>49</v>
      </c>
      <c r="C30" s="129"/>
      <c r="D30" s="121"/>
      <c r="E30" s="69">
        <f>SUM(E31:E39)</f>
        <v>102</v>
      </c>
      <c r="F30" s="69"/>
      <c r="G30" s="69">
        <f t="shared" ref="G30:L30" si="28">G31+G32+G33+G34+G35+G36+G37+G38+G39</f>
        <v>142438</v>
      </c>
      <c r="H30" s="69">
        <f t="shared" si="28"/>
        <v>102788</v>
      </c>
      <c r="I30" s="69">
        <f t="shared" si="28"/>
        <v>35609.5</v>
      </c>
      <c r="J30" s="69">
        <f t="shared" si="28"/>
        <v>32825</v>
      </c>
      <c r="K30" s="69">
        <f t="shared" si="28"/>
        <v>19825</v>
      </c>
      <c r="L30" s="69">
        <f t="shared" si="28"/>
        <v>13216.666666666666</v>
      </c>
      <c r="M30" s="43">
        <f>SUM(M31:M39)</f>
        <v>346702.16666666663</v>
      </c>
      <c r="N30" s="44"/>
      <c r="O30" s="43">
        <f>SUM(O31:O39)</f>
        <v>915293.72</v>
      </c>
      <c r="P30" s="43">
        <f>SUM(P31:P39)</f>
        <v>120652.35399999999</v>
      </c>
      <c r="Q30" s="43">
        <f>SUM(Q31:Q39)</f>
        <v>212181.726</v>
      </c>
      <c r="R30" s="43">
        <f>SUM(R31:R39)</f>
        <v>8320.8520000000008</v>
      </c>
      <c r="T30" s="98">
        <v>211</v>
      </c>
      <c r="U30" s="96">
        <f>M30*12</f>
        <v>4160425.9999999995</v>
      </c>
      <c r="V30" s="98">
        <v>213</v>
      </c>
      <c r="W30" s="97">
        <f>SUM(O30:R30)</f>
        <v>1256448.652</v>
      </c>
    </row>
    <row r="31" spans="1:23" s="39" customFormat="1" ht="36.75" customHeight="1">
      <c r="A31" s="30">
        <v>19</v>
      </c>
      <c r="B31" s="33"/>
      <c r="C31" s="105" t="s">
        <v>43</v>
      </c>
      <c r="D31" s="126">
        <v>1</v>
      </c>
      <c r="E31" s="51">
        <v>18</v>
      </c>
      <c r="F31" s="60">
        <v>1300</v>
      </c>
      <c r="G31" s="61">
        <f t="shared" ref="G31:G39" si="29">E31*F31</f>
        <v>23400</v>
      </c>
      <c r="H31" s="61">
        <f>G31*50%</f>
        <v>11700</v>
      </c>
      <c r="I31" s="61">
        <f t="shared" ref="I31:I39" si="30">G31*25%</f>
        <v>5850</v>
      </c>
      <c r="J31" s="61">
        <f t="shared" ref="J31:J38" si="31">G31*25%</f>
        <v>5850</v>
      </c>
      <c r="K31" s="61">
        <f>G31*25%</f>
        <v>5850</v>
      </c>
      <c r="L31" s="61">
        <f>G31*2/12</f>
        <v>3900</v>
      </c>
      <c r="M31" s="61">
        <f t="shared" ref="M31:M35" si="32">SUM(G31:L31)</f>
        <v>56550</v>
      </c>
      <c r="N31" s="44"/>
      <c r="O31" s="39">
        <f>M31*12*22%</f>
        <v>149292</v>
      </c>
      <c r="P31" s="44">
        <f t="shared" si="27"/>
        <v>19679.399999999998</v>
      </c>
      <c r="Q31" s="44">
        <f>M31*12*5.1%</f>
        <v>34608.6</v>
      </c>
      <c r="R31" s="44">
        <f>M31*12*0.2%</f>
        <v>1357.2</v>
      </c>
    </row>
    <row r="32" spans="1:23" s="39" customFormat="1" ht="36.75" customHeight="1">
      <c r="A32" s="30">
        <v>20</v>
      </c>
      <c r="B32" s="108"/>
      <c r="C32" s="109" t="s">
        <v>30</v>
      </c>
      <c r="D32" s="123">
        <v>1</v>
      </c>
      <c r="E32" s="65">
        <v>16</v>
      </c>
      <c r="F32" s="57">
        <v>1300</v>
      </c>
      <c r="G32" s="57">
        <f>E32*F32</f>
        <v>20800</v>
      </c>
      <c r="H32" s="57">
        <f>G32*50%</f>
        <v>10400</v>
      </c>
      <c r="I32" s="57">
        <f>G32*25%</f>
        <v>5200</v>
      </c>
      <c r="J32" s="57">
        <f>G32*25%</f>
        <v>5200</v>
      </c>
      <c r="K32" s="57">
        <f>G32*25%</f>
        <v>5200</v>
      </c>
      <c r="L32" s="57">
        <f>G32*2/12</f>
        <v>3466.6666666666665</v>
      </c>
      <c r="M32" s="57">
        <f>SUM(G32:L32)</f>
        <v>50266.666666666664</v>
      </c>
      <c r="N32" s="44"/>
      <c r="O32" s="39">
        <f>M32*12*22%</f>
        <v>132704</v>
      </c>
      <c r="P32" s="44">
        <f>M32*12*2.9%</f>
        <v>17492.8</v>
      </c>
      <c r="Q32" s="44">
        <f>M32*12*5.1%</f>
        <v>30763.199999999997</v>
      </c>
      <c r="R32" s="44">
        <f>M32*12*0.2%</f>
        <v>1206.4000000000001</v>
      </c>
    </row>
    <row r="33" spans="1:23" s="39" customFormat="1" ht="18" customHeight="1">
      <c r="A33" s="30">
        <v>21</v>
      </c>
      <c r="B33" s="79"/>
      <c r="C33" s="53" t="s">
        <v>39</v>
      </c>
      <c r="D33" s="118">
        <v>1</v>
      </c>
      <c r="E33" s="46">
        <v>14</v>
      </c>
      <c r="F33" s="49">
        <v>1300</v>
      </c>
      <c r="G33" s="49">
        <f t="shared" si="29"/>
        <v>18200</v>
      </c>
      <c r="H33" s="49">
        <f>G33*50%</f>
        <v>9100</v>
      </c>
      <c r="I33" s="49">
        <f t="shared" si="30"/>
        <v>4550</v>
      </c>
      <c r="J33" s="49">
        <f t="shared" si="31"/>
        <v>4550</v>
      </c>
      <c r="K33" s="49">
        <f>G33*25%</f>
        <v>4550</v>
      </c>
      <c r="L33" s="49">
        <f>G33*2/12</f>
        <v>3033.3333333333335</v>
      </c>
      <c r="M33" s="49">
        <f t="shared" si="32"/>
        <v>43983.333333333336</v>
      </c>
      <c r="N33" s="44"/>
      <c r="O33" s="39">
        <f>M33*12*22%</f>
        <v>116116</v>
      </c>
      <c r="P33" s="44">
        <f>M33*12*2.9%</f>
        <v>15306.199999999999</v>
      </c>
      <c r="Q33" s="44">
        <f>M33*12*5.1%</f>
        <v>26917.8</v>
      </c>
      <c r="R33" s="44">
        <f>M33*12*0.2%</f>
        <v>1055.5999999999999</v>
      </c>
    </row>
    <row r="34" spans="1:23" s="39" customFormat="1" ht="18" customHeight="1">
      <c r="A34" s="30">
        <v>22</v>
      </c>
      <c r="B34" s="79"/>
      <c r="C34" s="53" t="s">
        <v>34</v>
      </c>
      <c r="D34" s="118">
        <v>1</v>
      </c>
      <c r="E34" s="46">
        <v>13</v>
      </c>
      <c r="F34" s="49">
        <v>1300</v>
      </c>
      <c r="G34" s="49">
        <f t="shared" si="29"/>
        <v>16900</v>
      </c>
      <c r="H34" s="49">
        <f>G34*50%</f>
        <v>8450</v>
      </c>
      <c r="I34" s="49">
        <f t="shared" si="30"/>
        <v>4225</v>
      </c>
      <c r="J34" s="49">
        <f t="shared" si="31"/>
        <v>4225</v>
      </c>
      <c r="K34" s="49">
        <f>G34*25%</f>
        <v>4225</v>
      </c>
      <c r="L34" s="49">
        <f>G34*2/12</f>
        <v>2816.6666666666665</v>
      </c>
      <c r="M34" s="49">
        <f t="shared" si="32"/>
        <v>40841.666666666664</v>
      </c>
      <c r="N34" s="44"/>
      <c r="O34" s="39">
        <f>M34*12*22%</f>
        <v>107822</v>
      </c>
      <c r="P34" s="44">
        <f>M34*12*2.9%</f>
        <v>14212.9</v>
      </c>
      <c r="Q34" s="44">
        <f>M34*12*5.1%</f>
        <v>24995.1</v>
      </c>
      <c r="R34" s="44">
        <f>M34*12*0.2%</f>
        <v>980.2</v>
      </c>
    </row>
    <row r="35" spans="1:23" s="22" customFormat="1">
      <c r="A35" s="66">
        <v>23</v>
      </c>
      <c r="B35" s="66"/>
      <c r="C35" s="70" t="s">
        <v>35</v>
      </c>
      <c r="D35" s="70">
        <v>1</v>
      </c>
      <c r="E35" s="71">
        <v>10</v>
      </c>
      <c r="F35" s="49">
        <v>1300</v>
      </c>
      <c r="G35" s="72">
        <f t="shared" si="29"/>
        <v>13000</v>
      </c>
      <c r="H35" s="49">
        <f>G35*100%</f>
        <v>13000</v>
      </c>
      <c r="I35" s="72">
        <f t="shared" si="30"/>
        <v>3250</v>
      </c>
      <c r="J35" s="72">
        <f t="shared" si="31"/>
        <v>3250</v>
      </c>
      <c r="K35" s="72"/>
      <c r="L35" s="72"/>
      <c r="M35" s="72">
        <f t="shared" si="32"/>
        <v>32500</v>
      </c>
      <c r="N35" s="103"/>
      <c r="O35" s="22">
        <f t="shared" ref="O35:O39" si="33">M35*12*22%</f>
        <v>85800</v>
      </c>
      <c r="P35" s="103">
        <f t="shared" ref="P35:P39" si="34">M35*12*2.9%</f>
        <v>11310</v>
      </c>
      <c r="Q35" s="103">
        <f t="shared" ref="Q35:Q39" si="35">M35*12*5.1%</f>
        <v>19890</v>
      </c>
      <c r="R35" s="103">
        <f t="shared" ref="R35:R39" si="36">M35*12*0.2%</f>
        <v>780</v>
      </c>
    </row>
    <row r="36" spans="1:23" s="39" customFormat="1">
      <c r="A36" s="66">
        <v>24</v>
      </c>
      <c r="B36" s="66"/>
      <c r="C36" s="70" t="s">
        <v>36</v>
      </c>
      <c r="D36" s="70">
        <v>1</v>
      </c>
      <c r="E36" s="71">
        <v>10</v>
      </c>
      <c r="F36" s="49">
        <v>1300</v>
      </c>
      <c r="G36" s="72">
        <f t="shared" si="29"/>
        <v>13000</v>
      </c>
      <c r="H36" s="49">
        <f t="shared" ref="H36:H39" si="37">G36*100%</f>
        <v>13000</v>
      </c>
      <c r="I36" s="72">
        <f t="shared" si="30"/>
        <v>3250</v>
      </c>
      <c r="J36" s="72">
        <f t="shared" si="31"/>
        <v>3250</v>
      </c>
      <c r="K36" s="72"/>
      <c r="L36" s="72"/>
      <c r="M36" s="72">
        <f t="shared" ref="M36:M39" si="38">SUM(G36:L36)</f>
        <v>32500</v>
      </c>
      <c r="N36" s="44"/>
      <c r="O36" s="44">
        <f t="shared" si="33"/>
        <v>85800</v>
      </c>
      <c r="P36" s="44">
        <f t="shared" si="34"/>
        <v>11310</v>
      </c>
      <c r="Q36" s="44">
        <f t="shared" si="35"/>
        <v>19890</v>
      </c>
      <c r="R36" s="44">
        <f t="shared" si="36"/>
        <v>780</v>
      </c>
    </row>
    <row r="37" spans="1:23" s="39" customFormat="1">
      <c r="A37" s="75">
        <v>25</v>
      </c>
      <c r="B37" s="75"/>
      <c r="C37" s="76" t="s">
        <v>37</v>
      </c>
      <c r="D37" s="76">
        <v>1</v>
      </c>
      <c r="E37" s="77">
        <v>10</v>
      </c>
      <c r="F37" s="61">
        <v>1300</v>
      </c>
      <c r="G37" s="78">
        <f t="shared" si="29"/>
        <v>13000</v>
      </c>
      <c r="H37" s="61">
        <f t="shared" si="37"/>
        <v>13000</v>
      </c>
      <c r="I37" s="78">
        <f t="shared" si="30"/>
        <v>3250</v>
      </c>
      <c r="J37" s="78">
        <f t="shared" si="31"/>
        <v>3250</v>
      </c>
      <c r="K37" s="78"/>
      <c r="L37" s="78"/>
      <c r="M37" s="78">
        <f t="shared" si="38"/>
        <v>32500</v>
      </c>
      <c r="N37" s="44"/>
      <c r="O37" s="44">
        <f t="shared" si="33"/>
        <v>85800</v>
      </c>
      <c r="P37" s="44">
        <f t="shared" si="34"/>
        <v>11310</v>
      </c>
      <c r="Q37" s="44">
        <f t="shared" si="35"/>
        <v>19890</v>
      </c>
      <c r="R37" s="44">
        <f t="shared" si="36"/>
        <v>780</v>
      </c>
    </row>
    <row r="38" spans="1:23" s="39" customFormat="1">
      <c r="A38" s="66">
        <v>26</v>
      </c>
      <c r="B38" s="73"/>
      <c r="C38" s="70" t="s">
        <v>37</v>
      </c>
      <c r="D38" s="70">
        <v>1</v>
      </c>
      <c r="E38" s="71">
        <v>10</v>
      </c>
      <c r="F38" s="72">
        <v>1300</v>
      </c>
      <c r="G38" s="72">
        <f t="shared" si="29"/>
        <v>13000</v>
      </c>
      <c r="H38" s="72">
        <f t="shared" si="37"/>
        <v>13000</v>
      </c>
      <c r="I38" s="72">
        <f t="shared" si="30"/>
        <v>3250</v>
      </c>
      <c r="J38" s="72">
        <f t="shared" si="31"/>
        <v>3250</v>
      </c>
      <c r="K38" s="72"/>
      <c r="L38" s="49"/>
      <c r="M38" s="72">
        <f t="shared" si="38"/>
        <v>32500</v>
      </c>
      <c r="N38" s="44"/>
      <c r="O38" s="44">
        <f t="shared" si="33"/>
        <v>85800</v>
      </c>
      <c r="P38" s="44">
        <f t="shared" si="34"/>
        <v>11310</v>
      </c>
      <c r="Q38" s="44">
        <f t="shared" si="35"/>
        <v>19890</v>
      </c>
      <c r="R38" s="44">
        <f t="shared" si="36"/>
        <v>780</v>
      </c>
    </row>
    <row r="39" spans="1:23" s="39" customFormat="1" ht="18.75" customHeight="1">
      <c r="A39" s="66">
        <v>27</v>
      </c>
      <c r="B39" s="73"/>
      <c r="C39" s="71" t="s">
        <v>26</v>
      </c>
      <c r="D39" s="71">
        <v>1</v>
      </c>
      <c r="E39" s="74">
        <v>1</v>
      </c>
      <c r="F39" s="72">
        <v>11138</v>
      </c>
      <c r="G39" s="72">
        <f t="shared" si="29"/>
        <v>11138</v>
      </c>
      <c r="H39" s="72">
        <f t="shared" si="37"/>
        <v>11138</v>
      </c>
      <c r="I39" s="72">
        <f t="shared" si="30"/>
        <v>2784.5</v>
      </c>
      <c r="J39" s="72"/>
      <c r="K39" s="72"/>
      <c r="L39" s="49"/>
      <c r="M39" s="72">
        <f t="shared" si="38"/>
        <v>25060.5</v>
      </c>
      <c r="N39" s="44"/>
      <c r="O39" s="44">
        <f t="shared" si="33"/>
        <v>66159.72</v>
      </c>
      <c r="P39" s="44">
        <f t="shared" si="34"/>
        <v>8721.0540000000001</v>
      </c>
      <c r="Q39" s="44">
        <f t="shared" si="35"/>
        <v>15337.026</v>
      </c>
      <c r="R39" s="44">
        <f t="shared" si="36"/>
        <v>601.452</v>
      </c>
      <c r="T39" s="100" t="s">
        <v>53</v>
      </c>
    </row>
    <row r="40" spans="1:23" s="39" customFormat="1" ht="51" customHeight="1">
      <c r="A40" s="80"/>
      <c r="B40" s="130" t="s">
        <v>38</v>
      </c>
      <c r="C40" s="131"/>
      <c r="D40" s="111"/>
      <c r="E40" s="81">
        <f>SUM(E41:E42)</f>
        <v>29</v>
      </c>
      <c r="F40" s="82"/>
      <c r="G40" s="83">
        <f t="shared" ref="G40:L40" si="39">SUM(G41:G42)</f>
        <v>37700</v>
      </c>
      <c r="H40" s="83">
        <f t="shared" si="39"/>
        <v>18850</v>
      </c>
      <c r="I40" s="83">
        <f t="shared" si="39"/>
        <v>9425</v>
      </c>
      <c r="J40" s="83">
        <f t="shared" si="39"/>
        <v>9425</v>
      </c>
      <c r="K40" s="83">
        <f t="shared" si="39"/>
        <v>9425</v>
      </c>
      <c r="L40" s="83">
        <f t="shared" si="39"/>
        <v>6283.333333333333</v>
      </c>
      <c r="M40" s="83">
        <f>SUM(M41:M42)</f>
        <v>91108.333333333328</v>
      </c>
      <c r="N40" s="44"/>
      <c r="O40" s="83">
        <f t="shared" ref="O40:R40" si="40">SUM(O41:O42)</f>
        <v>240526</v>
      </c>
      <c r="P40" s="83">
        <f t="shared" si="40"/>
        <v>31705.699999999997</v>
      </c>
      <c r="Q40" s="83">
        <f t="shared" si="40"/>
        <v>55758.299999999996</v>
      </c>
      <c r="R40" s="83">
        <f t="shared" si="40"/>
        <v>2186.6000000000004</v>
      </c>
      <c r="T40" s="95" t="s">
        <v>47</v>
      </c>
      <c r="U40" s="96">
        <f>M40*12</f>
        <v>1093300</v>
      </c>
      <c r="V40" s="95" t="s">
        <v>48</v>
      </c>
      <c r="W40" s="97">
        <f>SUM(O40:R40)</f>
        <v>330176.59999999998</v>
      </c>
    </row>
    <row r="41" spans="1:23" s="86" customFormat="1" ht="23.25" customHeight="1">
      <c r="A41" s="28">
        <v>28</v>
      </c>
      <c r="B41" s="30"/>
      <c r="C41" s="35" t="s">
        <v>30</v>
      </c>
      <c r="D41" s="35">
        <v>1</v>
      </c>
      <c r="E41" s="47">
        <v>16</v>
      </c>
      <c r="F41" s="49">
        <v>1300</v>
      </c>
      <c r="G41" s="49">
        <f>E41*F41</f>
        <v>20800</v>
      </c>
      <c r="H41" s="49">
        <f>G41*50%</f>
        <v>10400</v>
      </c>
      <c r="I41" s="49">
        <f>G41*25%</f>
        <v>5200</v>
      </c>
      <c r="J41" s="49">
        <f>G41*25%</f>
        <v>5200</v>
      </c>
      <c r="K41" s="49">
        <f>G41*25%</f>
        <v>5200</v>
      </c>
      <c r="L41" s="49">
        <f>G41*2/12</f>
        <v>3466.6666666666665</v>
      </c>
      <c r="M41" s="49">
        <f>SUM(G41:L41)</f>
        <v>50266.666666666664</v>
      </c>
      <c r="N41" s="85"/>
      <c r="O41" s="39">
        <f>M41*12*22%</f>
        <v>132704</v>
      </c>
      <c r="P41" s="44">
        <f>M41*12*2.9%</f>
        <v>17492.8</v>
      </c>
      <c r="Q41" s="44">
        <f>M41*12*5.1%</f>
        <v>30763.199999999997</v>
      </c>
      <c r="R41" s="44">
        <f>M41*12*0.2%</f>
        <v>1206.4000000000001</v>
      </c>
    </row>
    <row r="42" spans="1:23" s="88" customFormat="1" ht="23.25" customHeight="1">
      <c r="A42" s="89">
        <v>29</v>
      </c>
      <c r="B42" s="84"/>
      <c r="C42" s="36" t="s">
        <v>4</v>
      </c>
      <c r="D42" s="36">
        <v>1</v>
      </c>
      <c r="E42" s="36">
        <v>13</v>
      </c>
      <c r="F42" s="49">
        <v>1300</v>
      </c>
      <c r="G42" s="49">
        <f>E42*F42</f>
        <v>16900</v>
      </c>
      <c r="H42" s="49">
        <f>G42*50%</f>
        <v>8450</v>
      </c>
      <c r="I42" s="49">
        <f>G42*25%</f>
        <v>4225</v>
      </c>
      <c r="J42" s="49">
        <f>G42*25%</f>
        <v>4225</v>
      </c>
      <c r="K42" s="49">
        <f>G42*25%</f>
        <v>4225</v>
      </c>
      <c r="L42" s="49">
        <f>G42*2/12</f>
        <v>2816.6666666666665</v>
      </c>
      <c r="M42" s="49">
        <f>SUM(G42:L42)</f>
        <v>40841.666666666664</v>
      </c>
      <c r="N42" s="87"/>
      <c r="O42" s="39">
        <f>M42*12*22%</f>
        <v>107822</v>
      </c>
      <c r="P42" s="44">
        <f>M42*12*2.9%</f>
        <v>14212.9</v>
      </c>
      <c r="Q42" s="44">
        <f>M42*12*5.1%</f>
        <v>24995.1</v>
      </c>
      <c r="R42" s="44">
        <f>M42*12*0.2%</f>
        <v>980.2</v>
      </c>
    </row>
    <row r="43" spans="1:23">
      <c r="B43" s="107" t="s">
        <v>8</v>
      </c>
    </row>
  </sheetData>
  <mergeCells count="15">
    <mergeCell ref="B30:C30"/>
    <mergeCell ref="B40:C40"/>
    <mergeCell ref="E4:F4"/>
    <mergeCell ref="G4:H4"/>
    <mergeCell ref="I4:M4"/>
    <mergeCell ref="B11:C11"/>
    <mergeCell ref="B14:C14"/>
    <mergeCell ref="B22:C22"/>
    <mergeCell ref="C1:H1"/>
    <mergeCell ref="J1:M1"/>
    <mergeCell ref="C2:H2"/>
    <mergeCell ref="B3:C3"/>
    <mergeCell ref="E3:F3"/>
    <mergeCell ref="G3:H3"/>
    <mergeCell ref="J3:K3"/>
  </mergeCells>
  <pageMargins left="0.39370078740157483" right="0.39370078740157483" top="0.59055118110236227" bottom="0.59055118110236227" header="0.31496062992125984" footer="0.3149606299212598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 072017</vt:lpstr>
      <vt:lpstr>2018 МА с 01.18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buh4</cp:lastModifiedBy>
  <cp:lastPrinted>2017-11-07T16:01:30Z</cp:lastPrinted>
  <dcterms:created xsi:type="dcterms:W3CDTF">2002-09-18T10:37:37Z</dcterms:created>
  <dcterms:modified xsi:type="dcterms:W3CDTF">2017-11-28T13:48:44Z</dcterms:modified>
</cp:coreProperties>
</file>